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\INFORME DE AVANCE\2019\3er. trimestre\"/>
    </mc:Choice>
  </mc:AlternateContent>
  <bookViews>
    <workbookView xWindow="285" yWindow="1560" windowWidth="20730" windowHeight="901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Hoja1!$B$102:$O$218</definedName>
    <definedName name="_xlnm._FilterDatabase" localSheetId="1" hidden="1">Hoja2!$D$4:$Q$211</definedName>
  </definedNames>
  <calcPr calcId="152511"/>
</workbook>
</file>

<file path=xl/calcChain.xml><?xml version="1.0" encoding="utf-8"?>
<calcChain xmlns="http://schemas.openxmlformats.org/spreadsheetml/2006/main">
  <c r="I166" i="1" l="1"/>
  <c r="G166" i="1"/>
  <c r="E166" i="1"/>
  <c r="J166" i="1"/>
  <c r="M166" i="1" s="1"/>
  <c r="O166" i="1" s="1"/>
  <c r="K166" i="1" l="1"/>
  <c r="L166" i="1" s="1"/>
  <c r="E17" i="1"/>
  <c r="J165" i="1" l="1"/>
  <c r="M165" i="1" s="1"/>
  <c r="O165" i="1" s="1"/>
  <c r="J164" i="1"/>
  <c r="M164" i="1" s="1"/>
  <c r="O164" i="1" s="1"/>
  <c r="J163" i="1"/>
  <c r="M163" i="1" s="1"/>
  <c r="O163" i="1" s="1"/>
  <c r="J162" i="1"/>
  <c r="M162" i="1" s="1"/>
  <c r="O162" i="1" s="1"/>
  <c r="J161" i="1"/>
  <c r="M161" i="1" s="1"/>
  <c r="O161" i="1" s="1"/>
  <c r="J160" i="1"/>
  <c r="M160" i="1" s="1"/>
  <c r="O160" i="1" s="1"/>
  <c r="J159" i="1"/>
  <c r="M159" i="1" s="1"/>
  <c r="O159" i="1" s="1"/>
  <c r="E165" i="1"/>
  <c r="G165" i="1" s="1"/>
  <c r="I165" i="1" s="1"/>
  <c r="K165" i="1" s="1"/>
  <c r="E164" i="1"/>
  <c r="E163" i="1"/>
  <c r="G163" i="1" s="1"/>
  <c r="E162" i="1"/>
  <c r="G162" i="1" s="1"/>
  <c r="I162" i="1" s="1"/>
  <c r="E161" i="1"/>
  <c r="G161" i="1" s="1"/>
  <c r="I161" i="1" s="1"/>
  <c r="E160" i="1"/>
  <c r="G160" i="1" s="1"/>
  <c r="I160" i="1" s="1"/>
  <c r="E159" i="1"/>
  <c r="G159" i="1" s="1"/>
  <c r="I159" i="1" s="1"/>
  <c r="L165" i="1" l="1"/>
  <c r="I163" i="1"/>
  <c r="K163" i="1" s="1"/>
  <c r="L163" i="1" s="1"/>
  <c r="K162" i="1"/>
  <c r="L162" i="1" s="1"/>
  <c r="G164" i="1"/>
  <c r="I164" i="1" s="1"/>
  <c r="K159" i="1"/>
  <c r="L159" i="1" s="1"/>
  <c r="K161" i="1"/>
  <c r="L161" i="1" s="1"/>
  <c r="K160" i="1"/>
  <c r="L160" i="1" s="1"/>
  <c r="K164" i="1" l="1"/>
  <c r="L164" i="1" s="1"/>
  <c r="J90" i="1" l="1"/>
  <c r="M90" i="1" s="1"/>
  <c r="J215" i="1" l="1"/>
  <c r="M215" i="1" s="1"/>
  <c r="J202" i="1"/>
  <c r="M202" i="1" s="1"/>
  <c r="J201" i="1"/>
  <c r="M201" i="1" s="1"/>
  <c r="J168" i="1"/>
  <c r="M168" i="1" s="1"/>
  <c r="J158" i="1"/>
  <c r="M158" i="1" s="1"/>
  <c r="J157" i="1"/>
  <c r="M157" i="1" s="1"/>
  <c r="J149" i="1"/>
  <c r="M149" i="1" s="1"/>
  <c r="J150" i="1"/>
  <c r="M150" i="1" s="1"/>
  <c r="J151" i="1"/>
  <c r="M151" i="1" s="1"/>
  <c r="J152" i="1"/>
  <c r="M152" i="1" s="1"/>
  <c r="J153" i="1"/>
  <c r="M153" i="1" s="1"/>
  <c r="J154" i="1"/>
  <c r="M154" i="1" s="1"/>
  <c r="J155" i="1"/>
  <c r="M155" i="1" s="1"/>
  <c r="J156" i="1"/>
  <c r="M156" i="1" s="1"/>
  <c r="J148" i="1"/>
  <c r="M148" i="1" s="1"/>
  <c r="J135" i="1"/>
  <c r="M135" i="1" s="1"/>
  <c r="J115" i="1"/>
  <c r="M115" i="1" s="1"/>
  <c r="O215" i="1" l="1"/>
  <c r="E210" i="1"/>
  <c r="E211" i="1"/>
  <c r="E212" i="1"/>
  <c r="E213" i="1"/>
  <c r="E214" i="1"/>
  <c r="E215" i="1"/>
  <c r="O202" i="1"/>
  <c r="E202" i="1"/>
  <c r="O201" i="1"/>
  <c r="E201" i="1"/>
  <c r="G201" i="1" s="1"/>
  <c r="O168" i="1"/>
  <c r="E168" i="1"/>
  <c r="O148" i="1"/>
  <c r="O149" i="1"/>
  <c r="O150" i="1"/>
  <c r="O151" i="1"/>
  <c r="O152" i="1"/>
  <c r="O153" i="1"/>
  <c r="O154" i="1"/>
  <c r="O155" i="1"/>
  <c r="O156" i="1"/>
  <c r="O157" i="1"/>
  <c r="O158" i="1"/>
  <c r="E148" i="1"/>
  <c r="G148" i="1" s="1"/>
  <c r="I148" i="1" s="1"/>
  <c r="E149" i="1"/>
  <c r="E150" i="1"/>
  <c r="E151" i="1"/>
  <c r="E152" i="1"/>
  <c r="E153" i="1"/>
  <c r="G153" i="1" s="1"/>
  <c r="I153" i="1" s="1"/>
  <c r="E154" i="1"/>
  <c r="G154" i="1" s="1"/>
  <c r="E155" i="1"/>
  <c r="G155" i="1" s="1"/>
  <c r="E156" i="1"/>
  <c r="G156" i="1" s="1"/>
  <c r="I156" i="1" s="1"/>
  <c r="K156" i="1" s="1"/>
  <c r="L156" i="1" s="1"/>
  <c r="E157" i="1"/>
  <c r="G157" i="1" s="1"/>
  <c r="I157" i="1" s="1"/>
  <c r="E158" i="1"/>
  <c r="G158" i="1" s="1"/>
  <c r="O135" i="1"/>
  <c r="E135" i="1"/>
  <c r="O115" i="1"/>
  <c r="E115" i="1"/>
  <c r="G215" i="1" l="1"/>
  <c r="I215" i="1" s="1"/>
  <c r="K215" i="1" s="1"/>
  <c r="L215" i="1" s="1"/>
  <c r="G202" i="1"/>
  <c r="I202" i="1" s="1"/>
  <c r="I201" i="1"/>
  <c r="K201" i="1" s="1"/>
  <c r="L201" i="1" s="1"/>
  <c r="G168" i="1"/>
  <c r="I168" i="1" s="1"/>
  <c r="G152" i="1"/>
  <c r="I152" i="1" s="1"/>
  <c r="I158" i="1"/>
  <c r="K158" i="1" s="1"/>
  <c r="L158" i="1" s="1"/>
  <c r="K157" i="1"/>
  <c r="L157" i="1" s="1"/>
  <c r="I155" i="1"/>
  <c r="K155" i="1" s="1"/>
  <c r="L155" i="1" s="1"/>
  <c r="I154" i="1"/>
  <c r="K154" i="1" s="1"/>
  <c r="L154" i="1" s="1"/>
  <c r="K153" i="1"/>
  <c r="L153" i="1" s="1"/>
  <c r="G151" i="1"/>
  <c r="I151" i="1" s="1"/>
  <c r="G150" i="1"/>
  <c r="I150" i="1" s="1"/>
  <c r="G149" i="1"/>
  <c r="I149" i="1" s="1"/>
  <c r="K148" i="1"/>
  <c r="L148" i="1" s="1"/>
  <c r="G135" i="1"/>
  <c r="I135" i="1" s="1"/>
  <c r="G115" i="1"/>
  <c r="I115" i="1" s="1"/>
  <c r="O90" i="1"/>
  <c r="E90" i="1"/>
  <c r="K202" i="1" l="1"/>
  <c r="L202" i="1" s="1"/>
  <c r="K168" i="1"/>
  <c r="L168" i="1" s="1"/>
  <c r="K152" i="1"/>
  <c r="L152" i="1" s="1"/>
  <c r="K149" i="1"/>
  <c r="L149" i="1" s="1"/>
  <c r="K150" i="1"/>
  <c r="L150" i="1" s="1"/>
  <c r="K151" i="1"/>
  <c r="L151" i="1" s="1"/>
  <c r="K135" i="1"/>
  <c r="K115" i="1"/>
  <c r="L115" i="1" s="1"/>
  <c r="G90" i="1"/>
  <c r="I90" i="1" s="1"/>
  <c r="K90" i="1" l="1"/>
  <c r="L90" i="1" s="1"/>
  <c r="J95" i="1"/>
  <c r="M95" i="1" s="1"/>
  <c r="J93" i="1"/>
  <c r="M93" i="1" s="1"/>
  <c r="J92" i="1"/>
  <c r="M92" i="1" s="1"/>
  <c r="J214" i="1" l="1"/>
  <c r="M214" i="1" s="1"/>
  <c r="J213" i="1"/>
  <c r="M213" i="1" s="1"/>
  <c r="J212" i="1"/>
  <c r="M212" i="1" s="1"/>
  <c r="J211" i="1"/>
  <c r="M211" i="1" s="1"/>
  <c r="J210" i="1"/>
  <c r="M210" i="1" s="1"/>
  <c r="J209" i="1"/>
  <c r="M209" i="1" s="1"/>
  <c r="J208" i="1"/>
  <c r="M208" i="1" s="1"/>
  <c r="J207" i="1"/>
  <c r="M207" i="1" s="1"/>
  <c r="G214" i="1"/>
  <c r="I214" i="1" s="1"/>
  <c r="G213" i="1"/>
  <c r="I213" i="1" s="1"/>
  <c r="G212" i="1"/>
  <c r="I212" i="1" s="1"/>
  <c r="G211" i="1"/>
  <c r="I211" i="1" s="1"/>
  <c r="G210" i="1"/>
  <c r="E209" i="1"/>
  <c r="G209" i="1" s="1"/>
  <c r="E208" i="1"/>
  <c r="E207" i="1"/>
  <c r="E200" i="1"/>
  <c r="G200" i="1" s="1"/>
  <c r="J200" i="1"/>
  <c r="M200" i="1" s="1"/>
  <c r="E199" i="1"/>
  <c r="J199" i="1"/>
  <c r="M199" i="1" s="1"/>
  <c r="E147" i="1"/>
  <c r="J147" i="1"/>
  <c r="M147" i="1" s="1"/>
  <c r="E146" i="1"/>
  <c r="G146" i="1" s="1"/>
  <c r="J146" i="1"/>
  <c r="M146" i="1" s="1"/>
  <c r="E145" i="1"/>
  <c r="J145" i="1"/>
  <c r="M145" i="1" s="1"/>
  <c r="E144" i="1"/>
  <c r="J144" i="1"/>
  <c r="M144" i="1" s="1"/>
  <c r="J143" i="1"/>
  <c r="M143" i="1" s="1"/>
  <c r="E143" i="1"/>
  <c r="E142" i="1"/>
  <c r="J142" i="1"/>
  <c r="M142" i="1" s="1"/>
  <c r="E141" i="1"/>
  <c r="G141" i="1" s="1"/>
  <c r="I141" i="1" s="1"/>
  <c r="K141" i="1" s="1"/>
  <c r="J141" i="1"/>
  <c r="M141" i="1" s="1"/>
  <c r="J140" i="1"/>
  <c r="M140" i="1" s="1"/>
  <c r="J139" i="1"/>
  <c r="M139" i="1" s="1"/>
  <c r="E140" i="1"/>
  <c r="E139" i="1"/>
  <c r="G139" i="1" s="1"/>
  <c r="E114" i="1"/>
  <c r="G114" i="1" s="1"/>
  <c r="J114" i="1"/>
  <c r="M114" i="1" s="1"/>
  <c r="E113" i="1"/>
  <c r="J113" i="1"/>
  <c r="M113" i="1" s="1"/>
  <c r="J112" i="1"/>
  <c r="M112" i="1" s="1"/>
  <c r="E112" i="1"/>
  <c r="G112" i="1" s="1"/>
  <c r="I112" i="1" s="1"/>
  <c r="E95" i="1"/>
  <c r="G95" i="1" s="1"/>
  <c r="I95" i="1" s="1"/>
  <c r="E93" i="1"/>
  <c r="G93" i="1" s="1"/>
  <c r="I93" i="1" s="1"/>
  <c r="E92" i="1"/>
  <c r="K211" i="1" l="1"/>
  <c r="L211" i="1" s="1"/>
  <c r="K214" i="1"/>
  <c r="L214" i="1" s="1"/>
  <c r="I210" i="1"/>
  <c r="K210" i="1" s="1"/>
  <c r="L210" i="1" s="1"/>
  <c r="K212" i="1"/>
  <c r="L212" i="1" s="1"/>
  <c r="K213" i="1"/>
  <c r="L213" i="1" s="1"/>
  <c r="O114" i="1"/>
  <c r="O145" i="1"/>
  <c r="O146" i="1"/>
  <c r="O143" i="1"/>
  <c r="O209" i="1"/>
  <c r="O213" i="1"/>
  <c r="O207" i="1"/>
  <c r="O147" i="1"/>
  <c r="O142" i="1"/>
  <c r="O208" i="1"/>
  <c r="O139" i="1"/>
  <c r="O210" i="1"/>
  <c r="O211" i="1"/>
  <c r="O113" i="1"/>
  <c r="O144" i="1"/>
  <c r="O212" i="1"/>
  <c r="O200" i="1"/>
  <c r="O214" i="1"/>
  <c r="O112" i="1"/>
  <c r="O140" i="1"/>
  <c r="O141" i="1"/>
  <c r="O199" i="1"/>
  <c r="I209" i="1"/>
  <c r="K209" i="1" s="1"/>
  <c r="L209" i="1" s="1"/>
  <c r="G208" i="1"/>
  <c r="I208" i="1" s="1"/>
  <c r="G207" i="1"/>
  <c r="I207" i="1" s="1"/>
  <c r="I200" i="1"/>
  <c r="K200" i="1" s="1"/>
  <c r="L200" i="1" s="1"/>
  <c r="G199" i="1"/>
  <c r="I199" i="1" s="1"/>
  <c r="G147" i="1"/>
  <c r="I147" i="1" s="1"/>
  <c r="I146" i="1"/>
  <c r="K146" i="1" s="1"/>
  <c r="L146" i="1" s="1"/>
  <c r="G145" i="1"/>
  <c r="I145" i="1" s="1"/>
  <c r="G144" i="1"/>
  <c r="I144" i="1" s="1"/>
  <c r="G143" i="1"/>
  <c r="I143" i="1" s="1"/>
  <c r="L141" i="1"/>
  <c r="G142" i="1"/>
  <c r="I142" i="1" s="1"/>
  <c r="G140" i="1"/>
  <c r="I140" i="1" s="1"/>
  <c r="I139" i="1"/>
  <c r="K139" i="1" s="1"/>
  <c r="L139" i="1" s="1"/>
  <c r="I114" i="1"/>
  <c r="K114" i="1" s="1"/>
  <c r="L114" i="1" s="1"/>
  <c r="G113" i="1"/>
  <c r="I113" i="1" s="1"/>
  <c r="K112" i="1"/>
  <c r="L112" i="1" s="1"/>
  <c r="K95" i="1"/>
  <c r="L95" i="1" s="1"/>
  <c r="K93" i="1"/>
  <c r="L93" i="1" s="1"/>
  <c r="G92" i="1"/>
  <c r="I92" i="1" s="1"/>
  <c r="J27" i="1"/>
  <c r="M27" i="1" s="1"/>
  <c r="J26" i="1"/>
  <c r="M26" i="1" s="1"/>
  <c r="J25" i="1"/>
  <c r="M25" i="1" s="1"/>
  <c r="J23" i="1"/>
  <c r="M23" i="1" s="1"/>
  <c r="J203" i="1"/>
  <c r="M203" i="1" s="1"/>
  <c r="J204" i="1"/>
  <c r="M204" i="1" s="1"/>
  <c r="J205" i="1"/>
  <c r="M205" i="1" s="1"/>
  <c r="J206" i="1"/>
  <c r="M206" i="1" s="1"/>
  <c r="J216" i="1"/>
  <c r="M216" i="1" s="1"/>
  <c r="J192" i="1"/>
  <c r="M192" i="1" s="1"/>
  <c r="J193" i="1"/>
  <c r="M193" i="1" s="1"/>
  <c r="J194" i="1"/>
  <c r="M194" i="1" s="1"/>
  <c r="J195" i="1"/>
  <c r="M195" i="1" s="1"/>
  <c r="J196" i="1"/>
  <c r="M196" i="1" s="1"/>
  <c r="J197" i="1"/>
  <c r="M197" i="1" s="1"/>
  <c r="J198" i="1"/>
  <c r="M198" i="1" s="1"/>
  <c r="H220" i="1"/>
  <c r="F220" i="1"/>
  <c r="D220" i="1"/>
  <c r="J191" i="1"/>
  <c r="M191" i="1" s="1"/>
  <c r="J190" i="1"/>
  <c r="M190" i="1" s="1"/>
  <c r="J189" i="1"/>
  <c r="M189" i="1" s="1"/>
  <c r="J188" i="1"/>
  <c r="M188" i="1" s="1"/>
  <c r="J187" i="1"/>
  <c r="M187" i="1" s="1"/>
  <c r="J186" i="1"/>
  <c r="M186" i="1" s="1"/>
  <c r="J185" i="1"/>
  <c r="M185" i="1" s="1"/>
  <c r="J184" i="1"/>
  <c r="M184" i="1" s="1"/>
  <c r="J183" i="1"/>
  <c r="M183" i="1" s="1"/>
  <c r="K208" i="1" l="1"/>
  <c r="L208" i="1" s="1"/>
  <c r="K207" i="1"/>
  <c r="L207" i="1" s="1"/>
  <c r="K199" i="1"/>
  <c r="L199" i="1" s="1"/>
  <c r="K147" i="1"/>
  <c r="L147" i="1" s="1"/>
  <c r="K145" i="1"/>
  <c r="L145" i="1" s="1"/>
  <c r="K144" i="1"/>
  <c r="L144" i="1" s="1"/>
  <c r="K142" i="1"/>
  <c r="L142" i="1" s="1"/>
  <c r="K143" i="1"/>
  <c r="L143" i="1" s="1"/>
  <c r="K140" i="1"/>
  <c r="L140" i="1" s="1"/>
  <c r="K113" i="1"/>
  <c r="L113" i="1" s="1"/>
  <c r="K92" i="1"/>
  <c r="L92" i="1" s="1"/>
  <c r="E216" i="1"/>
  <c r="O216" i="1"/>
  <c r="E206" i="1"/>
  <c r="G206" i="1" s="1"/>
  <c r="I206" i="1" s="1"/>
  <c r="O206" i="1"/>
  <c r="E205" i="1"/>
  <c r="G205" i="1" s="1"/>
  <c r="I205" i="1" s="1"/>
  <c r="O205" i="1"/>
  <c r="E204" i="1"/>
  <c r="G204" i="1" s="1"/>
  <c r="I204" i="1" s="1"/>
  <c r="O204" i="1"/>
  <c r="E203" i="1"/>
  <c r="G203" i="1" s="1"/>
  <c r="I203" i="1" s="1"/>
  <c r="O203" i="1"/>
  <c r="E198" i="1"/>
  <c r="G198" i="1" s="1"/>
  <c r="I198" i="1" s="1"/>
  <c r="O198" i="1"/>
  <c r="E197" i="1"/>
  <c r="G197" i="1" s="1"/>
  <c r="I197" i="1" s="1"/>
  <c r="O197" i="1"/>
  <c r="E196" i="1"/>
  <c r="O196" i="1"/>
  <c r="E195" i="1"/>
  <c r="G195" i="1" s="1"/>
  <c r="I195" i="1" s="1"/>
  <c r="O195" i="1"/>
  <c r="E194" i="1"/>
  <c r="O194" i="1"/>
  <c r="E193" i="1"/>
  <c r="G193" i="1" s="1"/>
  <c r="I193" i="1" s="1"/>
  <c r="O193" i="1"/>
  <c r="E192" i="1"/>
  <c r="G192" i="1" s="1"/>
  <c r="I192" i="1" s="1"/>
  <c r="O192" i="1"/>
  <c r="E191" i="1"/>
  <c r="O191" i="1"/>
  <c r="E190" i="1"/>
  <c r="G190" i="1" s="1"/>
  <c r="I190" i="1" s="1"/>
  <c r="O190" i="1"/>
  <c r="E189" i="1"/>
  <c r="G189" i="1" s="1"/>
  <c r="I189" i="1" s="1"/>
  <c r="O189" i="1"/>
  <c r="E188" i="1"/>
  <c r="G188" i="1" s="1"/>
  <c r="I188" i="1" s="1"/>
  <c r="O188" i="1"/>
  <c r="E187" i="1"/>
  <c r="G187" i="1" s="1"/>
  <c r="I187" i="1" s="1"/>
  <c r="O187" i="1"/>
  <c r="E186" i="1"/>
  <c r="O186" i="1"/>
  <c r="E185" i="1"/>
  <c r="G185" i="1" s="1"/>
  <c r="I185" i="1" s="1"/>
  <c r="O185" i="1"/>
  <c r="E184" i="1"/>
  <c r="G184" i="1" s="1"/>
  <c r="I184" i="1" s="1"/>
  <c r="O184" i="1"/>
  <c r="E183" i="1"/>
  <c r="O183" i="1"/>
  <c r="E126" i="1"/>
  <c r="G126" i="1" s="1"/>
  <c r="I126" i="1" s="1"/>
  <c r="J126" i="1"/>
  <c r="M126" i="1" s="1"/>
  <c r="E27" i="1"/>
  <c r="G27" i="1" s="1"/>
  <c r="O27" i="1"/>
  <c r="E26" i="1"/>
  <c r="G26" i="1" s="1"/>
  <c r="I26" i="1" s="1"/>
  <c r="K26" i="1" s="1"/>
  <c r="L26" i="1" s="1"/>
  <c r="O26" i="1"/>
  <c r="E25" i="1"/>
  <c r="G25" i="1" s="1"/>
  <c r="I25" i="1" s="1"/>
  <c r="O25" i="1"/>
  <c r="E23" i="1"/>
  <c r="G23" i="1" s="1"/>
  <c r="I23" i="1" s="1"/>
  <c r="O23" i="1"/>
  <c r="K195" i="1" l="1"/>
  <c r="L195" i="1" s="1"/>
  <c r="K204" i="1"/>
  <c r="L204" i="1" s="1"/>
  <c r="K188" i="1"/>
  <c r="L188" i="1" s="1"/>
  <c r="K185" i="1"/>
  <c r="L185" i="1" s="1"/>
  <c r="K190" i="1"/>
  <c r="L190" i="1" s="1"/>
  <c r="K203" i="1"/>
  <c r="L203" i="1" s="1"/>
  <c r="K197" i="1"/>
  <c r="L197" i="1" s="1"/>
  <c r="K193" i="1"/>
  <c r="L193" i="1" s="1"/>
  <c r="K205" i="1"/>
  <c r="L205" i="1" s="1"/>
  <c r="G216" i="1"/>
  <c r="I216" i="1" s="1"/>
  <c r="K206" i="1"/>
  <c r="L206" i="1" s="1"/>
  <c r="K198" i="1"/>
  <c r="L198" i="1" s="1"/>
  <c r="G196" i="1"/>
  <c r="I196" i="1" s="1"/>
  <c r="G194" i="1"/>
  <c r="I194" i="1" s="1"/>
  <c r="K192" i="1"/>
  <c r="L192" i="1" s="1"/>
  <c r="G191" i="1"/>
  <c r="I191" i="1" s="1"/>
  <c r="K189" i="1"/>
  <c r="L189" i="1" s="1"/>
  <c r="K187" i="1"/>
  <c r="L187" i="1" s="1"/>
  <c r="G186" i="1"/>
  <c r="I186" i="1" s="1"/>
  <c r="K184" i="1"/>
  <c r="L184" i="1" s="1"/>
  <c r="G183" i="1"/>
  <c r="I183" i="1" s="1"/>
  <c r="K126" i="1"/>
  <c r="I27" i="1"/>
  <c r="K27" i="1" s="1"/>
  <c r="L27" i="1" s="1"/>
  <c r="K23" i="1"/>
  <c r="L23" i="1" s="1"/>
  <c r="K25" i="1"/>
  <c r="L25" i="1" s="1"/>
  <c r="J174" i="1"/>
  <c r="M174" i="1" s="1"/>
  <c r="K186" i="1" l="1"/>
  <c r="L186" i="1" s="1"/>
  <c r="K196" i="1"/>
  <c r="L196" i="1" s="1"/>
  <c r="K183" i="1"/>
  <c r="L183" i="1" s="1"/>
  <c r="K194" i="1"/>
  <c r="L194" i="1" s="1"/>
  <c r="K216" i="1"/>
  <c r="L216" i="1" s="1"/>
  <c r="K191" i="1"/>
  <c r="L191" i="1" s="1"/>
  <c r="E96" i="1"/>
  <c r="E94" i="1"/>
  <c r="E9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33" i="1"/>
  <c r="E32" i="1"/>
  <c r="E31" i="1"/>
  <c r="E30" i="1"/>
  <c r="E29" i="1"/>
  <c r="E28" i="1"/>
  <c r="E24" i="1"/>
  <c r="E22" i="1"/>
  <c r="E21" i="1"/>
  <c r="E20" i="1"/>
  <c r="E19" i="1"/>
  <c r="E18" i="1"/>
  <c r="E16" i="1"/>
  <c r="E15" i="1"/>
  <c r="E14" i="1"/>
  <c r="E13" i="1"/>
  <c r="O174" i="1" l="1"/>
  <c r="E174" i="1"/>
  <c r="G174" i="1" s="1"/>
  <c r="I174" i="1" s="1"/>
  <c r="K174" i="1" l="1"/>
  <c r="L174" i="1" s="1"/>
  <c r="J32" i="1"/>
  <c r="M32" i="1" s="1"/>
  <c r="O32" i="1" l="1"/>
  <c r="G32" i="1"/>
  <c r="J173" i="1"/>
  <c r="M173" i="1" s="1"/>
  <c r="J172" i="1"/>
  <c r="M172" i="1" s="1"/>
  <c r="I32" i="1" l="1"/>
  <c r="K32" i="1" s="1"/>
  <c r="L32" i="1" s="1"/>
  <c r="O173" i="1"/>
  <c r="O172" i="1"/>
  <c r="G70" i="1" l="1"/>
  <c r="I70" i="1" s="1"/>
  <c r="G69" i="1"/>
  <c r="I69" i="1" s="1"/>
  <c r="G67" i="1"/>
  <c r="I67" i="1" s="1"/>
  <c r="F99" i="1" l="1"/>
  <c r="E104" i="1" l="1"/>
  <c r="G104" i="1" s="1"/>
  <c r="I104" i="1" s="1"/>
  <c r="E105" i="1"/>
  <c r="G105" i="1" s="1"/>
  <c r="I105" i="1" s="1"/>
  <c r="E106" i="1"/>
  <c r="G106" i="1" s="1"/>
  <c r="I106" i="1" s="1"/>
  <c r="E107" i="1"/>
  <c r="G107" i="1" s="1"/>
  <c r="I107" i="1" s="1"/>
  <c r="E108" i="1"/>
  <c r="G108" i="1" s="1"/>
  <c r="I108" i="1" s="1"/>
  <c r="E109" i="1"/>
  <c r="G109" i="1" s="1"/>
  <c r="I109" i="1" s="1"/>
  <c r="E110" i="1"/>
  <c r="G110" i="1" s="1"/>
  <c r="I110" i="1" s="1"/>
  <c r="E111" i="1"/>
  <c r="G111" i="1" s="1"/>
  <c r="I111" i="1" s="1"/>
  <c r="E116" i="1"/>
  <c r="G116" i="1" s="1"/>
  <c r="I116" i="1" s="1"/>
  <c r="E117" i="1"/>
  <c r="G117" i="1" s="1"/>
  <c r="I117" i="1" s="1"/>
  <c r="E118" i="1"/>
  <c r="G118" i="1" s="1"/>
  <c r="I118" i="1" s="1"/>
  <c r="E119" i="1"/>
  <c r="G119" i="1" s="1"/>
  <c r="I119" i="1" s="1"/>
  <c r="E120" i="1"/>
  <c r="G120" i="1" s="1"/>
  <c r="I120" i="1" s="1"/>
  <c r="E121" i="1"/>
  <c r="G121" i="1" s="1"/>
  <c r="I121" i="1" s="1"/>
  <c r="E122" i="1"/>
  <c r="G122" i="1" s="1"/>
  <c r="I122" i="1" s="1"/>
  <c r="E123" i="1"/>
  <c r="G123" i="1" s="1"/>
  <c r="I123" i="1" s="1"/>
  <c r="E124" i="1"/>
  <c r="G124" i="1" s="1"/>
  <c r="I124" i="1" s="1"/>
  <c r="E125" i="1"/>
  <c r="G125" i="1" s="1"/>
  <c r="I125" i="1" s="1"/>
  <c r="E127" i="1"/>
  <c r="G127" i="1" s="1"/>
  <c r="I127" i="1" s="1"/>
  <c r="E128" i="1"/>
  <c r="G128" i="1" s="1"/>
  <c r="I128" i="1" s="1"/>
  <c r="E129" i="1"/>
  <c r="G129" i="1" s="1"/>
  <c r="I129" i="1" s="1"/>
  <c r="E130" i="1"/>
  <c r="G130" i="1" s="1"/>
  <c r="I130" i="1" s="1"/>
  <c r="E131" i="1"/>
  <c r="G131" i="1" s="1"/>
  <c r="I131" i="1" s="1"/>
  <c r="E132" i="1"/>
  <c r="G132" i="1" s="1"/>
  <c r="I132" i="1" s="1"/>
  <c r="E133" i="1"/>
  <c r="G133" i="1" s="1"/>
  <c r="I133" i="1" s="1"/>
  <c r="E134" i="1"/>
  <c r="G134" i="1" s="1"/>
  <c r="I134" i="1" s="1"/>
  <c r="E136" i="1"/>
  <c r="G136" i="1" s="1"/>
  <c r="I136" i="1" s="1"/>
  <c r="E137" i="1"/>
  <c r="G137" i="1" s="1"/>
  <c r="I137" i="1" s="1"/>
  <c r="E138" i="1"/>
  <c r="G138" i="1" s="1"/>
  <c r="I138" i="1" s="1"/>
  <c r="E167" i="1"/>
  <c r="G167" i="1" s="1"/>
  <c r="I167" i="1" s="1"/>
  <c r="E169" i="1"/>
  <c r="G169" i="1" s="1"/>
  <c r="I169" i="1" s="1"/>
  <c r="E170" i="1"/>
  <c r="G170" i="1" s="1"/>
  <c r="I170" i="1" s="1"/>
  <c r="E171" i="1"/>
  <c r="G171" i="1" s="1"/>
  <c r="I171" i="1" s="1"/>
  <c r="E172" i="1"/>
  <c r="E173" i="1"/>
  <c r="E175" i="1"/>
  <c r="E176" i="1"/>
  <c r="E177" i="1"/>
  <c r="G177" i="1" s="1"/>
  <c r="I177" i="1" s="1"/>
  <c r="E178" i="1"/>
  <c r="G178" i="1" s="1"/>
  <c r="I178" i="1" s="1"/>
  <c r="E179" i="1"/>
  <c r="G179" i="1" s="1"/>
  <c r="I179" i="1" s="1"/>
  <c r="E180" i="1"/>
  <c r="G180" i="1" s="1"/>
  <c r="I180" i="1" s="1"/>
  <c r="E181" i="1"/>
  <c r="G181" i="1" s="1"/>
  <c r="I181" i="1" s="1"/>
  <c r="E182" i="1"/>
  <c r="G182" i="1" s="1"/>
  <c r="I182" i="1" s="1"/>
  <c r="E103" i="1"/>
  <c r="G103" i="1" s="1"/>
  <c r="I103" i="1" s="1"/>
  <c r="G176" i="1" l="1"/>
  <c r="I176" i="1" s="1"/>
  <c r="G175" i="1"/>
  <c r="I175" i="1" s="1"/>
  <c r="G173" i="1"/>
  <c r="I173" i="1" s="1"/>
  <c r="G172" i="1"/>
  <c r="I172" i="1" s="1"/>
  <c r="J213" i="2"/>
  <c r="L209" i="2"/>
  <c r="G209" i="2"/>
  <c r="M209" i="2" s="1"/>
  <c r="P209" i="2" s="1"/>
  <c r="L208" i="2"/>
  <c r="G208" i="2"/>
  <c r="M208" i="2" s="1"/>
  <c r="P208" i="2" s="1"/>
  <c r="Q208" i="2" s="1"/>
  <c r="L207" i="2"/>
  <c r="G207" i="2"/>
  <c r="M207" i="2" s="1"/>
  <c r="L206" i="2"/>
  <c r="G206" i="2"/>
  <c r="M206" i="2" s="1"/>
  <c r="M205" i="2"/>
  <c r="L205" i="2"/>
  <c r="O205" i="2" s="1"/>
  <c r="G205" i="2"/>
  <c r="L204" i="2"/>
  <c r="G204" i="2"/>
  <c r="M204" i="2" s="1"/>
  <c r="P204" i="2" s="1"/>
  <c r="Q204" i="2" s="1"/>
  <c r="L203" i="2"/>
  <c r="O203" i="2" s="1"/>
  <c r="G203" i="2"/>
  <c r="M203" i="2" s="1"/>
  <c r="P203" i="2" s="1"/>
  <c r="L202" i="2"/>
  <c r="G202" i="2"/>
  <c r="M202" i="2" s="1"/>
  <c r="O201" i="2"/>
  <c r="L201" i="2"/>
  <c r="G201" i="2"/>
  <c r="M201" i="2" s="1"/>
  <c r="N201" i="2" s="1"/>
  <c r="M200" i="2"/>
  <c r="P200" i="2" s="1"/>
  <c r="L200" i="2"/>
  <c r="O200" i="2" s="1"/>
  <c r="Q200" i="2" s="1"/>
  <c r="K200" i="2"/>
  <c r="I200" i="2"/>
  <c r="G200" i="2"/>
  <c r="M199" i="2"/>
  <c r="P199" i="2" s="1"/>
  <c r="L199" i="2"/>
  <c r="O199" i="2" s="1"/>
  <c r="K199" i="2"/>
  <c r="I199" i="2"/>
  <c r="G199" i="2"/>
  <c r="L198" i="2"/>
  <c r="G198" i="2"/>
  <c r="M198" i="2" s="1"/>
  <c r="L197" i="2"/>
  <c r="G197" i="2"/>
  <c r="M197" i="2" s="1"/>
  <c r="M196" i="2"/>
  <c r="P196" i="2" s="1"/>
  <c r="L196" i="2"/>
  <c r="K196" i="2"/>
  <c r="I196" i="2"/>
  <c r="G196" i="2"/>
  <c r="M195" i="2"/>
  <c r="L195" i="2"/>
  <c r="O195" i="2" s="1"/>
  <c r="K195" i="2"/>
  <c r="I195" i="2"/>
  <c r="G195" i="2"/>
  <c r="M194" i="2"/>
  <c r="P194" i="2" s="1"/>
  <c r="L194" i="2"/>
  <c r="O194" i="2" s="1"/>
  <c r="Q194" i="2" s="1"/>
  <c r="K194" i="2"/>
  <c r="I194" i="2"/>
  <c r="G194" i="2"/>
  <c r="P193" i="2"/>
  <c r="Q193" i="2" s="1"/>
  <c r="M193" i="2"/>
  <c r="L193" i="2"/>
  <c r="N193" i="2" s="1"/>
  <c r="K193" i="2"/>
  <c r="I193" i="2"/>
  <c r="G193" i="2"/>
  <c r="M192" i="2"/>
  <c r="P192" i="2" s="1"/>
  <c r="L192" i="2"/>
  <c r="O192" i="2" s="1"/>
  <c r="K192" i="2"/>
  <c r="I192" i="2"/>
  <c r="G192" i="2"/>
  <c r="L191" i="2"/>
  <c r="O191" i="2" s="1"/>
  <c r="K191" i="2"/>
  <c r="I191" i="2"/>
  <c r="G191" i="2"/>
  <c r="M191" i="2" s="1"/>
  <c r="L190" i="2"/>
  <c r="K190" i="2"/>
  <c r="I190" i="2"/>
  <c r="G190" i="2"/>
  <c r="M190" i="2" s="1"/>
  <c r="P190" i="2" s="1"/>
  <c r="L189" i="2"/>
  <c r="O189" i="2" s="1"/>
  <c r="G189" i="2"/>
  <c r="M189" i="2" s="1"/>
  <c r="P189" i="2" s="1"/>
  <c r="L188" i="2"/>
  <c r="K188" i="2"/>
  <c r="I188" i="2"/>
  <c r="G188" i="2"/>
  <c r="M188" i="2" s="1"/>
  <c r="P188" i="2" s="1"/>
  <c r="L187" i="2"/>
  <c r="O187" i="2" s="1"/>
  <c r="K187" i="2"/>
  <c r="I187" i="2"/>
  <c r="G187" i="2"/>
  <c r="L186" i="2"/>
  <c r="O186" i="2" s="1"/>
  <c r="K186" i="2"/>
  <c r="I186" i="2"/>
  <c r="G186" i="2"/>
  <c r="M185" i="2"/>
  <c r="P185" i="2" s="1"/>
  <c r="L185" i="2"/>
  <c r="K185" i="2"/>
  <c r="I185" i="2"/>
  <c r="G185" i="2"/>
  <c r="M184" i="2"/>
  <c r="L184" i="2"/>
  <c r="O184" i="2" s="1"/>
  <c r="K184" i="2"/>
  <c r="I184" i="2"/>
  <c r="G184" i="2"/>
  <c r="M183" i="2"/>
  <c r="P183" i="2" s="1"/>
  <c r="L183" i="2"/>
  <c r="N183" i="2" s="1"/>
  <c r="K183" i="2"/>
  <c r="I183" i="2"/>
  <c r="G183" i="2"/>
  <c r="M182" i="2"/>
  <c r="P182" i="2" s="1"/>
  <c r="Q182" i="2" s="1"/>
  <c r="L182" i="2"/>
  <c r="N182" i="2" s="1"/>
  <c r="K182" i="2"/>
  <c r="I182" i="2"/>
  <c r="G182" i="2"/>
  <c r="M181" i="2"/>
  <c r="P181" i="2" s="1"/>
  <c r="L181" i="2"/>
  <c r="O181" i="2" s="1"/>
  <c r="K181" i="2"/>
  <c r="I181" i="2"/>
  <c r="G181" i="2"/>
  <c r="L180" i="2"/>
  <c r="O180" i="2" s="1"/>
  <c r="K180" i="2"/>
  <c r="I180" i="2"/>
  <c r="G180" i="2"/>
  <c r="M180" i="2" s="1"/>
  <c r="L179" i="2"/>
  <c r="O179" i="2" s="1"/>
  <c r="Q179" i="2" s="1"/>
  <c r="K179" i="2"/>
  <c r="I179" i="2"/>
  <c r="G179" i="2"/>
  <c r="M179" i="2" s="1"/>
  <c r="P179" i="2" s="1"/>
  <c r="L178" i="2"/>
  <c r="O178" i="2" s="1"/>
  <c r="K178" i="2"/>
  <c r="I178" i="2"/>
  <c r="G178" i="2"/>
  <c r="L177" i="2"/>
  <c r="O177" i="2" s="1"/>
  <c r="K177" i="2"/>
  <c r="I177" i="2"/>
  <c r="G177" i="2"/>
  <c r="M176" i="2"/>
  <c r="P176" i="2" s="1"/>
  <c r="L176" i="2"/>
  <c r="K176" i="2"/>
  <c r="I176" i="2"/>
  <c r="G176" i="2"/>
  <c r="M175" i="2"/>
  <c r="L175" i="2"/>
  <c r="O175" i="2" s="1"/>
  <c r="K175" i="2"/>
  <c r="I175" i="2"/>
  <c r="G175" i="2"/>
  <c r="M174" i="2"/>
  <c r="P174" i="2" s="1"/>
  <c r="L174" i="2"/>
  <c r="O174" i="2" s="1"/>
  <c r="K174" i="2"/>
  <c r="I174" i="2"/>
  <c r="G174" i="2"/>
  <c r="P173" i="2"/>
  <c r="M173" i="2"/>
  <c r="L173" i="2"/>
  <c r="O173" i="2" s="1"/>
  <c r="K173" i="2"/>
  <c r="I173" i="2"/>
  <c r="G173" i="2"/>
  <c r="L172" i="2"/>
  <c r="O172" i="2" s="1"/>
  <c r="K172" i="2"/>
  <c r="I172" i="2"/>
  <c r="G172" i="2"/>
  <c r="M172" i="2" s="1"/>
  <c r="L171" i="2"/>
  <c r="O171" i="2" s="1"/>
  <c r="G171" i="2"/>
  <c r="M171" i="2" s="1"/>
  <c r="P171" i="2" s="1"/>
  <c r="L170" i="2"/>
  <c r="O170" i="2" s="1"/>
  <c r="G170" i="2"/>
  <c r="M170" i="2" s="1"/>
  <c r="M169" i="2"/>
  <c r="P169" i="2" s="1"/>
  <c r="Q169" i="2" s="1"/>
  <c r="L169" i="2"/>
  <c r="G169" i="2"/>
  <c r="M168" i="2"/>
  <c r="P168" i="2" s="1"/>
  <c r="Q168" i="2" s="1"/>
  <c r="L168" i="2"/>
  <c r="G168" i="2"/>
  <c r="Q167" i="2"/>
  <c r="P167" i="2"/>
  <c r="L167" i="2"/>
  <c r="K167" i="2"/>
  <c r="I167" i="2"/>
  <c r="G167" i="2"/>
  <c r="M167" i="2" s="1"/>
  <c r="P166" i="2"/>
  <c r="M166" i="2"/>
  <c r="L166" i="2"/>
  <c r="O166" i="2" s="1"/>
  <c r="Q166" i="2" s="1"/>
  <c r="L165" i="2"/>
  <c r="K165" i="2"/>
  <c r="I165" i="2"/>
  <c r="G165" i="2"/>
  <c r="M165" i="2" s="1"/>
  <c r="P165" i="2" s="1"/>
  <c r="L164" i="2"/>
  <c r="O164" i="2" s="1"/>
  <c r="K164" i="2"/>
  <c r="I164" i="2"/>
  <c r="G164" i="2"/>
  <c r="L163" i="2"/>
  <c r="O163" i="2" s="1"/>
  <c r="K163" i="2"/>
  <c r="I163" i="2"/>
  <c r="G163" i="2"/>
  <c r="M163" i="2" s="1"/>
  <c r="P163" i="2" s="1"/>
  <c r="M162" i="2"/>
  <c r="P162" i="2" s="1"/>
  <c r="L162" i="2"/>
  <c r="K162" i="2"/>
  <c r="I162" i="2"/>
  <c r="G162" i="2"/>
  <c r="M161" i="2"/>
  <c r="L161" i="2"/>
  <c r="O161" i="2" s="1"/>
  <c r="K161" i="2"/>
  <c r="I161" i="2"/>
  <c r="G161" i="2"/>
  <c r="M160" i="2"/>
  <c r="P160" i="2" s="1"/>
  <c r="L160" i="2"/>
  <c r="O160" i="2" s="1"/>
  <c r="K160" i="2"/>
  <c r="I160" i="2"/>
  <c r="G160" i="2"/>
  <c r="M159" i="2"/>
  <c r="L159" i="2"/>
  <c r="O159" i="2" s="1"/>
  <c r="K159" i="2"/>
  <c r="I159" i="2"/>
  <c r="G159" i="2"/>
  <c r="L158" i="2"/>
  <c r="O158" i="2" s="1"/>
  <c r="K158" i="2"/>
  <c r="I158" i="2"/>
  <c r="G158" i="2"/>
  <c r="M158" i="2" s="1"/>
  <c r="N158" i="2" s="1"/>
  <c r="L157" i="2"/>
  <c r="G157" i="2"/>
  <c r="M157" i="2" s="1"/>
  <c r="M156" i="2"/>
  <c r="L156" i="2"/>
  <c r="O156" i="2" s="1"/>
  <c r="K156" i="2"/>
  <c r="I156" i="2"/>
  <c r="G156" i="2"/>
  <c r="L155" i="2"/>
  <c r="O155" i="2" s="1"/>
  <c r="K155" i="2"/>
  <c r="I155" i="2"/>
  <c r="G155" i="2"/>
  <c r="M155" i="2" s="1"/>
  <c r="N155" i="2" s="1"/>
  <c r="L154" i="2"/>
  <c r="G154" i="2"/>
  <c r="M154" i="2" s="1"/>
  <c r="M153" i="2"/>
  <c r="P153" i="2" s="1"/>
  <c r="Q153" i="2" s="1"/>
  <c r="L153" i="2"/>
  <c r="G153" i="2"/>
  <c r="M152" i="2"/>
  <c r="P152" i="2" s="1"/>
  <c r="Q152" i="2" s="1"/>
  <c r="L152" i="2"/>
  <c r="G152" i="2"/>
  <c r="L151" i="2"/>
  <c r="G151" i="2"/>
  <c r="M151" i="2" s="1"/>
  <c r="P151" i="2" s="1"/>
  <c r="Q151" i="2" s="1"/>
  <c r="L150" i="2"/>
  <c r="O150" i="2" s="1"/>
  <c r="K150" i="2"/>
  <c r="I150" i="2"/>
  <c r="G150" i="2"/>
  <c r="M150" i="2" s="1"/>
  <c r="P150" i="2" s="1"/>
  <c r="L149" i="2"/>
  <c r="O149" i="2" s="1"/>
  <c r="K149" i="2"/>
  <c r="I149" i="2"/>
  <c r="G149" i="2"/>
  <c r="M149" i="2" s="1"/>
  <c r="P149" i="2" s="1"/>
  <c r="L148" i="2"/>
  <c r="K148" i="2"/>
  <c r="I148" i="2"/>
  <c r="G148" i="2"/>
  <c r="M148" i="2" s="1"/>
  <c r="P148" i="2" s="1"/>
  <c r="Q148" i="2" s="1"/>
  <c r="L147" i="2"/>
  <c r="O147" i="2" s="1"/>
  <c r="K147" i="2"/>
  <c r="I147" i="2"/>
  <c r="G147" i="2"/>
  <c r="M146" i="2"/>
  <c r="P146" i="2" s="1"/>
  <c r="L146" i="2"/>
  <c r="K146" i="2"/>
  <c r="I146" i="2"/>
  <c r="G146" i="2"/>
  <c r="M145" i="2"/>
  <c r="L145" i="2"/>
  <c r="O145" i="2" s="1"/>
  <c r="K145" i="2"/>
  <c r="I145" i="2"/>
  <c r="G145" i="2"/>
  <c r="P144" i="2"/>
  <c r="M144" i="2"/>
  <c r="L144" i="2"/>
  <c r="O144" i="2" s="1"/>
  <c r="Q144" i="2" s="1"/>
  <c r="K144" i="2"/>
  <c r="I144" i="2"/>
  <c r="G144" i="2"/>
  <c r="P143" i="2"/>
  <c r="M143" i="2"/>
  <c r="L143" i="2"/>
  <c r="O143" i="2" s="1"/>
  <c r="K143" i="2"/>
  <c r="I143" i="2"/>
  <c r="G143" i="2"/>
  <c r="P142" i="2"/>
  <c r="L142" i="2"/>
  <c r="O142" i="2" s="1"/>
  <c r="K142" i="2"/>
  <c r="I142" i="2"/>
  <c r="G142" i="2"/>
  <c r="M142" i="2" s="1"/>
  <c r="O141" i="2"/>
  <c r="L141" i="2"/>
  <c r="K141" i="2"/>
  <c r="I141" i="2"/>
  <c r="G141" i="2"/>
  <c r="M141" i="2" s="1"/>
  <c r="P141" i="2" s="1"/>
  <c r="L140" i="2"/>
  <c r="O140" i="2" s="1"/>
  <c r="K140" i="2"/>
  <c r="I140" i="2"/>
  <c r="G140" i="2"/>
  <c r="M140" i="2" s="1"/>
  <c r="P140" i="2" s="1"/>
  <c r="L139" i="2"/>
  <c r="O139" i="2" s="1"/>
  <c r="K139" i="2"/>
  <c r="I139" i="2"/>
  <c r="G139" i="2"/>
  <c r="M138" i="2"/>
  <c r="P138" i="2" s="1"/>
  <c r="L138" i="2"/>
  <c r="K138" i="2"/>
  <c r="I138" i="2"/>
  <c r="G138" i="2"/>
  <c r="M137" i="2"/>
  <c r="L137" i="2"/>
  <c r="O137" i="2" s="1"/>
  <c r="K137" i="2"/>
  <c r="I137" i="2"/>
  <c r="G137" i="2"/>
  <c r="M136" i="2"/>
  <c r="P136" i="2" s="1"/>
  <c r="L136" i="2"/>
  <c r="O136" i="2" s="1"/>
  <c r="K136" i="2"/>
  <c r="I136" i="2"/>
  <c r="G136" i="2"/>
  <c r="M135" i="2"/>
  <c r="L135" i="2"/>
  <c r="G135" i="2"/>
  <c r="M134" i="2"/>
  <c r="L134" i="2"/>
  <c r="M133" i="2"/>
  <c r="P133" i="2" s="1"/>
  <c r="Q133" i="2" s="1"/>
  <c r="L133" i="2"/>
  <c r="G133" i="2"/>
  <c r="M132" i="2"/>
  <c r="P132" i="2" s="1"/>
  <c r="L132" i="2"/>
  <c r="O132" i="2" s="1"/>
  <c r="K132" i="2"/>
  <c r="I132" i="2"/>
  <c r="G132" i="2"/>
  <c r="M131" i="2"/>
  <c r="P131" i="2" s="1"/>
  <c r="L131" i="2"/>
  <c r="N131" i="2" s="1"/>
  <c r="K131" i="2"/>
  <c r="I131" i="2"/>
  <c r="G131" i="2"/>
  <c r="M130" i="2"/>
  <c r="P130" i="2" s="1"/>
  <c r="L130" i="2"/>
  <c r="O130" i="2" s="1"/>
  <c r="K130" i="2"/>
  <c r="I130" i="2"/>
  <c r="G130" i="2"/>
  <c r="L129" i="2"/>
  <c r="O129" i="2" s="1"/>
  <c r="K129" i="2"/>
  <c r="I129" i="2"/>
  <c r="G129" i="2"/>
  <c r="M129" i="2" s="1"/>
  <c r="L128" i="2"/>
  <c r="O128" i="2" s="1"/>
  <c r="K128" i="2"/>
  <c r="I128" i="2"/>
  <c r="G128" i="2"/>
  <c r="L127" i="2"/>
  <c r="N127" i="2" s="1"/>
  <c r="K127" i="2"/>
  <c r="I127" i="2"/>
  <c r="G127" i="2"/>
  <c r="M127" i="2" s="1"/>
  <c r="P127" i="2" s="1"/>
  <c r="Q127" i="2" s="1"/>
  <c r="L126" i="2"/>
  <c r="O126" i="2" s="1"/>
  <c r="K126" i="2"/>
  <c r="I126" i="2"/>
  <c r="G126" i="2"/>
  <c r="L125" i="2"/>
  <c r="K125" i="2"/>
  <c r="I125" i="2"/>
  <c r="G125" i="2"/>
  <c r="M125" i="2" s="1"/>
  <c r="P125" i="2" s="1"/>
  <c r="M124" i="2"/>
  <c r="P124" i="2" s="1"/>
  <c r="L124" i="2"/>
  <c r="K124" i="2"/>
  <c r="I124" i="2"/>
  <c r="G124" i="2"/>
  <c r="M123" i="2"/>
  <c r="P123" i="2" s="1"/>
  <c r="L123" i="2"/>
  <c r="O123" i="2" s="1"/>
  <c r="K123" i="2"/>
  <c r="I123" i="2"/>
  <c r="G123" i="2"/>
  <c r="M122" i="2"/>
  <c r="P122" i="2" s="1"/>
  <c r="L122" i="2"/>
  <c r="N122" i="2" s="1"/>
  <c r="K122" i="2"/>
  <c r="I122" i="2"/>
  <c r="G122" i="2"/>
  <c r="L121" i="2"/>
  <c r="G121" i="2"/>
  <c r="M121" i="2" s="1"/>
  <c r="M120" i="2"/>
  <c r="P120" i="2" s="1"/>
  <c r="L120" i="2"/>
  <c r="O120" i="2" s="1"/>
  <c r="K120" i="2"/>
  <c r="I120" i="2"/>
  <c r="G120" i="2"/>
  <c r="M119" i="2"/>
  <c r="P119" i="2" s="1"/>
  <c r="Q119" i="2" s="1"/>
  <c r="L119" i="2"/>
  <c r="G119" i="2"/>
  <c r="L118" i="2"/>
  <c r="K118" i="2"/>
  <c r="I118" i="2"/>
  <c r="G118" i="2"/>
  <c r="M117" i="2"/>
  <c r="P117" i="2" s="1"/>
  <c r="L117" i="2"/>
  <c r="K117" i="2"/>
  <c r="I117" i="2"/>
  <c r="G117" i="2"/>
  <c r="M116" i="2"/>
  <c r="P116" i="2" s="1"/>
  <c r="L116" i="2"/>
  <c r="O116" i="2" s="1"/>
  <c r="K116" i="2"/>
  <c r="I116" i="2"/>
  <c r="G116" i="2"/>
  <c r="L115" i="2"/>
  <c r="G115" i="2"/>
  <c r="M115" i="2" s="1"/>
  <c r="L114" i="2"/>
  <c r="G114" i="2"/>
  <c r="M114" i="2" s="1"/>
  <c r="P114" i="2" s="1"/>
  <c r="Q114" i="2" s="1"/>
  <c r="P113" i="2"/>
  <c r="Q113" i="2" s="1"/>
  <c r="M113" i="2"/>
  <c r="L113" i="2"/>
  <c r="N113" i="2" s="1"/>
  <c r="G113" i="2"/>
  <c r="L112" i="2"/>
  <c r="O112" i="2" s="1"/>
  <c r="K112" i="2"/>
  <c r="I112" i="2"/>
  <c r="G112" i="2"/>
  <c r="M112" i="2" s="1"/>
  <c r="P112" i="2" s="1"/>
  <c r="L111" i="2"/>
  <c r="K111" i="2"/>
  <c r="I111" i="2"/>
  <c r="G111" i="2"/>
  <c r="M111" i="2" s="1"/>
  <c r="P111" i="2" s="1"/>
  <c r="M110" i="2"/>
  <c r="P110" i="2" s="1"/>
  <c r="Q110" i="2" s="1"/>
  <c r="L110" i="2"/>
  <c r="G110" i="2"/>
  <c r="L109" i="2"/>
  <c r="O109" i="2" s="1"/>
  <c r="K109" i="2"/>
  <c r="I109" i="2"/>
  <c r="G109" i="2"/>
  <c r="M109" i="2" s="1"/>
  <c r="L108" i="2"/>
  <c r="G108" i="2"/>
  <c r="M108" i="2" s="1"/>
  <c r="M107" i="2"/>
  <c r="P107" i="2" s="1"/>
  <c r="Q107" i="2" s="1"/>
  <c r="L107" i="2"/>
  <c r="K107" i="2"/>
  <c r="I107" i="2"/>
  <c r="G107" i="2"/>
  <c r="M106" i="2"/>
  <c r="P106" i="2" s="1"/>
  <c r="L106" i="2"/>
  <c r="K106" i="2"/>
  <c r="I106" i="2"/>
  <c r="G106" i="2"/>
  <c r="L105" i="2"/>
  <c r="O105" i="2" s="1"/>
  <c r="K105" i="2"/>
  <c r="I105" i="2"/>
  <c r="G105" i="2"/>
  <c r="M105" i="2" s="1"/>
  <c r="L104" i="2"/>
  <c r="G104" i="2"/>
  <c r="M104" i="2" s="1"/>
  <c r="L103" i="2"/>
  <c r="G103" i="2"/>
  <c r="M103" i="2" s="1"/>
  <c r="M102" i="2"/>
  <c r="P102" i="2" s="1"/>
  <c r="L102" i="2"/>
  <c r="O102" i="2" s="1"/>
  <c r="G102" i="2"/>
  <c r="M101" i="2"/>
  <c r="P101" i="2" s="1"/>
  <c r="L101" i="2"/>
  <c r="K101" i="2"/>
  <c r="I101" i="2"/>
  <c r="G101" i="2"/>
  <c r="M100" i="2"/>
  <c r="P100" i="2" s="1"/>
  <c r="L100" i="2"/>
  <c r="O100" i="2" s="1"/>
  <c r="K100" i="2"/>
  <c r="I100" i="2"/>
  <c r="G100" i="2"/>
  <c r="M99" i="2"/>
  <c r="P99" i="2" s="1"/>
  <c r="L99" i="2"/>
  <c r="O99" i="2" s="1"/>
  <c r="K99" i="2"/>
  <c r="I99" i="2"/>
  <c r="G99" i="2"/>
  <c r="L98" i="2"/>
  <c r="G98" i="2"/>
  <c r="M98" i="2" s="1"/>
  <c r="P98" i="2" s="1"/>
  <c r="Q98" i="2" s="1"/>
  <c r="M97" i="2"/>
  <c r="P97" i="2" s="1"/>
  <c r="Q97" i="2" s="1"/>
  <c r="L97" i="2"/>
  <c r="G97" i="2"/>
  <c r="L96" i="2"/>
  <c r="K96" i="2"/>
  <c r="I96" i="2"/>
  <c r="G96" i="2"/>
  <c r="M95" i="2"/>
  <c r="P95" i="2" s="1"/>
  <c r="L95" i="2"/>
  <c r="G95" i="2"/>
  <c r="L94" i="2"/>
  <c r="G94" i="2"/>
  <c r="M94" i="2" s="1"/>
  <c r="L93" i="2"/>
  <c r="N93" i="2" s="1"/>
  <c r="K93" i="2"/>
  <c r="I93" i="2"/>
  <c r="G93" i="2"/>
  <c r="M93" i="2" s="1"/>
  <c r="P93" i="2" s="1"/>
  <c r="L92" i="2"/>
  <c r="G92" i="2"/>
  <c r="M92" i="2" s="1"/>
  <c r="P92" i="2" s="1"/>
  <c r="Q92" i="2" s="1"/>
  <c r="L91" i="2"/>
  <c r="G91" i="2"/>
  <c r="M91" i="2" s="1"/>
  <c r="P91" i="2" s="1"/>
  <c r="Q91" i="2" s="1"/>
  <c r="O90" i="2"/>
  <c r="M90" i="2"/>
  <c r="P90" i="2" s="1"/>
  <c r="L90" i="2"/>
  <c r="G90" i="2"/>
  <c r="L89" i="2"/>
  <c r="O89" i="2" s="1"/>
  <c r="K89" i="2"/>
  <c r="M89" i="2" s="1"/>
  <c r="I89" i="2"/>
  <c r="G89" i="2"/>
  <c r="M88" i="2"/>
  <c r="L88" i="2"/>
  <c r="O88" i="2" s="1"/>
  <c r="K88" i="2"/>
  <c r="I88" i="2"/>
  <c r="G88" i="2"/>
  <c r="M87" i="2"/>
  <c r="L87" i="2"/>
  <c r="O87" i="2" s="1"/>
  <c r="K87" i="2"/>
  <c r="I87" i="2"/>
  <c r="G87" i="2"/>
  <c r="L86" i="2"/>
  <c r="O86" i="2" s="1"/>
  <c r="P86" i="2" s="1"/>
  <c r="Q86" i="2" s="1"/>
  <c r="K86" i="2"/>
  <c r="I86" i="2"/>
  <c r="G86" i="2"/>
  <c r="M86" i="2" s="1"/>
  <c r="N86" i="2" s="1"/>
  <c r="L85" i="2"/>
  <c r="O85" i="2" s="1"/>
  <c r="P85" i="2" s="1"/>
  <c r="Q85" i="2" s="1"/>
  <c r="K85" i="2"/>
  <c r="I85" i="2"/>
  <c r="G85" i="2"/>
  <c r="M85" i="2" s="1"/>
  <c r="L84" i="2"/>
  <c r="O84" i="2" s="1"/>
  <c r="K84" i="2"/>
  <c r="I84" i="2"/>
  <c r="G84" i="2"/>
  <c r="M84" i="2" s="1"/>
  <c r="L83" i="2"/>
  <c r="G83" i="2"/>
  <c r="M83" i="2" s="1"/>
  <c r="P83" i="2" s="1"/>
  <c r="L82" i="2"/>
  <c r="O82" i="2" s="1"/>
  <c r="K82" i="2"/>
  <c r="I82" i="2"/>
  <c r="G82" i="2"/>
  <c r="L81" i="2"/>
  <c r="K81" i="2"/>
  <c r="I81" i="2"/>
  <c r="G81" i="2"/>
  <c r="L80" i="2"/>
  <c r="K80" i="2"/>
  <c r="I80" i="2"/>
  <c r="M80" i="2" s="1"/>
  <c r="P80" i="2" s="1"/>
  <c r="G80" i="2"/>
  <c r="L79" i="2"/>
  <c r="O79" i="2" s="1"/>
  <c r="K79" i="2"/>
  <c r="I79" i="2"/>
  <c r="G79" i="2"/>
  <c r="M79" i="2" s="1"/>
  <c r="P79" i="2" s="1"/>
  <c r="O78" i="2"/>
  <c r="L78" i="2"/>
  <c r="K78" i="2"/>
  <c r="I78" i="2"/>
  <c r="G78" i="2"/>
  <c r="M78" i="2" s="1"/>
  <c r="P78" i="2" s="1"/>
  <c r="L77" i="2"/>
  <c r="O77" i="2" s="1"/>
  <c r="K77" i="2"/>
  <c r="I77" i="2"/>
  <c r="M77" i="2" s="1"/>
  <c r="G77" i="2"/>
  <c r="L76" i="2"/>
  <c r="O76" i="2" s="1"/>
  <c r="K76" i="2"/>
  <c r="I76" i="2"/>
  <c r="G76" i="2"/>
  <c r="M76" i="2" s="1"/>
  <c r="P76" i="2" s="1"/>
  <c r="L75" i="2"/>
  <c r="K75" i="2"/>
  <c r="I75" i="2"/>
  <c r="G75" i="2"/>
  <c r="M75" i="2" s="1"/>
  <c r="P75" i="2" s="1"/>
  <c r="L74" i="2"/>
  <c r="O74" i="2" s="1"/>
  <c r="K74" i="2"/>
  <c r="I74" i="2"/>
  <c r="G74" i="2"/>
  <c r="M74" i="2" s="1"/>
  <c r="O73" i="2"/>
  <c r="L73" i="2"/>
  <c r="K73" i="2"/>
  <c r="I73" i="2"/>
  <c r="G73" i="2"/>
  <c r="P72" i="2"/>
  <c r="M72" i="2"/>
  <c r="L72" i="2"/>
  <c r="O72" i="2" s="1"/>
  <c r="K72" i="2"/>
  <c r="I72" i="2"/>
  <c r="G72" i="2"/>
  <c r="M71" i="2"/>
  <c r="P71" i="2" s="1"/>
  <c r="L71" i="2"/>
  <c r="O71" i="2" s="1"/>
  <c r="K71" i="2"/>
  <c r="I71" i="2"/>
  <c r="G71" i="2"/>
  <c r="M70" i="2"/>
  <c r="P70" i="2" s="1"/>
  <c r="L70" i="2"/>
  <c r="O70" i="2" s="1"/>
  <c r="K70" i="2"/>
  <c r="I70" i="2"/>
  <c r="G70" i="2"/>
  <c r="M69" i="2"/>
  <c r="L69" i="2"/>
  <c r="O69" i="2" s="1"/>
  <c r="K69" i="2"/>
  <c r="I69" i="2"/>
  <c r="G69" i="2"/>
  <c r="L68" i="2"/>
  <c r="O68" i="2" s="1"/>
  <c r="K68" i="2"/>
  <c r="I68" i="2"/>
  <c r="G68" i="2"/>
  <c r="M68" i="2" s="1"/>
  <c r="L67" i="2"/>
  <c r="G67" i="2"/>
  <c r="M67" i="2" s="1"/>
  <c r="M66" i="2"/>
  <c r="L66" i="2"/>
  <c r="O66" i="2" s="1"/>
  <c r="G66" i="2"/>
  <c r="P65" i="2"/>
  <c r="M65" i="2"/>
  <c r="L65" i="2"/>
  <c r="O65" i="2" s="1"/>
  <c r="G65" i="2"/>
  <c r="L64" i="2"/>
  <c r="G64" i="2"/>
  <c r="M64" i="2" s="1"/>
  <c r="P64" i="2" s="1"/>
  <c r="Q64" i="2" s="1"/>
  <c r="M63" i="2"/>
  <c r="P63" i="2" s="1"/>
  <c r="Q63" i="2" s="1"/>
  <c r="L63" i="2"/>
  <c r="G63" i="2"/>
  <c r="L62" i="2"/>
  <c r="K62" i="2"/>
  <c r="G62" i="2"/>
  <c r="M62" i="2" s="1"/>
  <c r="M61" i="2"/>
  <c r="P61" i="2" s="1"/>
  <c r="Q61" i="2" s="1"/>
  <c r="L61" i="2"/>
  <c r="G61" i="2"/>
  <c r="M60" i="2"/>
  <c r="P60" i="2" s="1"/>
  <c r="L60" i="2"/>
  <c r="O60" i="2" s="1"/>
  <c r="K60" i="2"/>
  <c r="I60" i="2"/>
  <c r="G60" i="2"/>
  <c r="L59" i="2"/>
  <c r="O59" i="2" s="1"/>
  <c r="G59" i="2"/>
  <c r="M59" i="2" s="1"/>
  <c r="M58" i="2"/>
  <c r="P58" i="2" s="1"/>
  <c r="Q58" i="2" s="1"/>
  <c r="L58" i="2"/>
  <c r="K58" i="2"/>
  <c r="I58" i="2"/>
  <c r="G58" i="2"/>
  <c r="M57" i="2"/>
  <c r="P57" i="2" s="1"/>
  <c r="L57" i="2"/>
  <c r="O57" i="2" s="1"/>
  <c r="G57" i="2"/>
  <c r="L56" i="2"/>
  <c r="K56" i="2"/>
  <c r="I56" i="2"/>
  <c r="M56" i="2" s="1"/>
  <c r="P56" i="2" s="1"/>
  <c r="Q56" i="2" s="1"/>
  <c r="G56" i="2"/>
  <c r="L55" i="2"/>
  <c r="K55" i="2"/>
  <c r="I55" i="2"/>
  <c r="M55" i="2" s="1"/>
  <c r="P55" i="2" s="1"/>
  <c r="Q55" i="2" s="1"/>
  <c r="G55" i="2"/>
  <c r="L54" i="2"/>
  <c r="K54" i="2"/>
  <c r="I54" i="2"/>
  <c r="M54" i="2" s="1"/>
  <c r="P54" i="2" s="1"/>
  <c r="Q54" i="2" s="1"/>
  <c r="G54" i="2"/>
  <c r="L53" i="2"/>
  <c r="O53" i="2" s="1"/>
  <c r="G53" i="2"/>
  <c r="M53" i="2" s="1"/>
  <c r="P53" i="2" s="1"/>
  <c r="L52" i="2"/>
  <c r="K52" i="2"/>
  <c r="I52" i="2"/>
  <c r="G52" i="2"/>
  <c r="M52" i="2" s="1"/>
  <c r="L51" i="2"/>
  <c r="K51" i="2"/>
  <c r="I51" i="2"/>
  <c r="G51" i="2"/>
  <c r="M51" i="2" s="1"/>
  <c r="L50" i="2"/>
  <c r="G50" i="2"/>
  <c r="M50" i="2" s="1"/>
  <c r="L49" i="2"/>
  <c r="G49" i="2"/>
  <c r="M49" i="2" s="1"/>
  <c r="P49" i="2" s="1"/>
  <c r="Q49" i="2" s="1"/>
  <c r="L48" i="2"/>
  <c r="O48" i="2" s="1"/>
  <c r="K48" i="2"/>
  <c r="I48" i="2"/>
  <c r="G48" i="2"/>
  <c r="M48" i="2" s="1"/>
  <c r="L47" i="2"/>
  <c r="O47" i="2" s="1"/>
  <c r="K47" i="2"/>
  <c r="I47" i="2"/>
  <c r="G47" i="2"/>
  <c r="M47" i="2" s="1"/>
  <c r="P47" i="2" s="1"/>
  <c r="M46" i="2"/>
  <c r="P46" i="2" s="1"/>
  <c r="L46" i="2"/>
  <c r="O46" i="2" s="1"/>
  <c r="G46" i="2"/>
  <c r="L45" i="2"/>
  <c r="O45" i="2" s="1"/>
  <c r="K45" i="2"/>
  <c r="I45" i="2"/>
  <c r="G45" i="2"/>
  <c r="M45" i="2" s="1"/>
  <c r="P45" i="2" s="1"/>
  <c r="L44" i="2"/>
  <c r="O44" i="2" s="1"/>
  <c r="Q44" i="2" s="1"/>
  <c r="K44" i="2"/>
  <c r="I44" i="2"/>
  <c r="G44" i="2"/>
  <c r="M44" i="2" s="1"/>
  <c r="P44" i="2" s="1"/>
  <c r="M43" i="2"/>
  <c r="P43" i="2" s="1"/>
  <c r="Q43" i="2" s="1"/>
  <c r="L43" i="2"/>
  <c r="Q42" i="2"/>
  <c r="M42" i="2"/>
  <c r="L42" i="2"/>
  <c r="Q41" i="2"/>
  <c r="M41" i="2"/>
  <c r="L41" i="2"/>
  <c r="Q40" i="2"/>
  <c r="M40" i="2"/>
  <c r="L40" i="2"/>
  <c r="Q39" i="2"/>
  <c r="M39" i="2"/>
  <c r="L39" i="2"/>
  <c r="Q38" i="2"/>
  <c r="M38" i="2"/>
  <c r="L38" i="2"/>
  <c r="Q37" i="2"/>
  <c r="M37" i="2"/>
  <c r="L37" i="2"/>
  <c r="L36" i="2"/>
  <c r="G36" i="2"/>
  <c r="M36" i="2" s="1"/>
  <c r="L35" i="2"/>
  <c r="G35" i="2"/>
  <c r="M35" i="2" s="1"/>
  <c r="P35" i="2" s="1"/>
  <c r="Q35" i="2" s="1"/>
  <c r="L34" i="2"/>
  <c r="G34" i="2"/>
  <c r="M34" i="2" s="1"/>
  <c r="L33" i="2"/>
  <c r="G33" i="2"/>
  <c r="M33" i="2" s="1"/>
  <c r="P33" i="2" s="1"/>
  <c r="Q33" i="2" s="1"/>
  <c r="L32" i="2"/>
  <c r="G32" i="2"/>
  <c r="M32" i="2" s="1"/>
  <c r="P32" i="2" s="1"/>
  <c r="Q32" i="2" s="1"/>
  <c r="L31" i="2"/>
  <c r="G31" i="2"/>
  <c r="M31" i="2" s="1"/>
  <c r="P31" i="2" s="1"/>
  <c r="Q31" i="2" s="1"/>
  <c r="M30" i="2"/>
  <c r="L30" i="2"/>
  <c r="L29" i="2"/>
  <c r="G29" i="2"/>
  <c r="M29" i="2" s="1"/>
  <c r="L28" i="2"/>
  <c r="G28" i="2"/>
  <c r="M28" i="2" s="1"/>
  <c r="P28" i="2" s="1"/>
  <c r="Q28" i="2" s="1"/>
  <c r="M27" i="2"/>
  <c r="P27" i="2" s="1"/>
  <c r="L27" i="2"/>
  <c r="O27" i="2" s="1"/>
  <c r="Q27" i="2" s="1"/>
  <c r="K27" i="2"/>
  <c r="I27" i="2"/>
  <c r="G27" i="2"/>
  <c r="M26" i="2"/>
  <c r="L26" i="2"/>
  <c r="M25" i="2"/>
  <c r="L25" i="2"/>
  <c r="K25" i="2"/>
  <c r="I25" i="2"/>
  <c r="G25" i="2"/>
  <c r="L24" i="2"/>
  <c r="G24" i="2"/>
  <c r="M24" i="2" s="1"/>
  <c r="L23" i="2"/>
  <c r="G23" i="2"/>
  <c r="M23" i="2" s="1"/>
  <c r="P23" i="2" s="1"/>
  <c r="Q23" i="2" s="1"/>
  <c r="L22" i="2"/>
  <c r="G22" i="2"/>
  <c r="M22" i="2" s="1"/>
  <c r="L21" i="2"/>
  <c r="G21" i="2"/>
  <c r="M21" i="2" s="1"/>
  <c r="P21" i="2" s="1"/>
  <c r="Q21" i="2" s="1"/>
  <c r="L20" i="2"/>
  <c r="G20" i="2"/>
  <c r="M20" i="2" s="1"/>
  <c r="P20" i="2" s="1"/>
  <c r="Q20" i="2" s="1"/>
  <c r="L19" i="2"/>
  <c r="O19" i="2" s="1"/>
  <c r="G19" i="2"/>
  <c r="M19" i="2" s="1"/>
  <c r="L18" i="2"/>
  <c r="G18" i="2"/>
  <c r="M18" i="2" s="1"/>
  <c r="P18" i="2" s="1"/>
  <c r="Q18" i="2" s="1"/>
  <c r="M17" i="2"/>
  <c r="P17" i="2" s="1"/>
  <c r="Q17" i="2" s="1"/>
  <c r="L17" i="2"/>
  <c r="N17" i="2" s="1"/>
  <c r="G17" i="2"/>
  <c r="K16" i="2"/>
  <c r="I16" i="2"/>
  <c r="H16" i="2"/>
  <c r="H213" i="2" s="1"/>
  <c r="G16" i="2"/>
  <c r="M16" i="2" s="1"/>
  <c r="P16" i="2" s="1"/>
  <c r="F16" i="2"/>
  <c r="F213" i="2" s="1"/>
  <c r="L15" i="2"/>
  <c r="K15" i="2"/>
  <c r="I15" i="2"/>
  <c r="G15" i="2"/>
  <c r="M15" i="2" s="1"/>
  <c r="P15" i="2" s="1"/>
  <c r="M14" i="2"/>
  <c r="P14" i="2" s="1"/>
  <c r="L14" i="2"/>
  <c r="K14" i="2"/>
  <c r="I14" i="2"/>
  <c r="G14" i="2"/>
  <c r="P13" i="2"/>
  <c r="M13" i="2"/>
  <c r="L13" i="2"/>
  <c r="O13" i="2" s="1"/>
  <c r="K13" i="2"/>
  <c r="I13" i="2"/>
  <c r="G13" i="2"/>
  <c r="M12" i="2"/>
  <c r="L12" i="2"/>
  <c r="O12" i="2" s="1"/>
  <c r="K12" i="2"/>
  <c r="I12" i="2"/>
  <c r="G12" i="2"/>
  <c r="L11" i="2"/>
  <c r="O11" i="2" s="1"/>
  <c r="K11" i="2"/>
  <c r="I11" i="2"/>
  <c r="M11" i="2" s="1"/>
  <c r="G11" i="2"/>
  <c r="L10" i="2"/>
  <c r="O10" i="2" s="1"/>
  <c r="G10" i="2"/>
  <c r="M10" i="2" s="1"/>
  <c r="P10" i="2" s="1"/>
  <c r="M9" i="2"/>
  <c r="P9" i="2" s="1"/>
  <c r="L9" i="2"/>
  <c r="O9" i="2" s="1"/>
  <c r="K9" i="2"/>
  <c r="I9" i="2"/>
  <c r="G9" i="2"/>
  <c r="M8" i="2"/>
  <c r="L8" i="2"/>
  <c r="G8" i="2"/>
  <c r="M7" i="2"/>
  <c r="P7" i="2" s="1"/>
  <c r="L7" i="2"/>
  <c r="O7" i="2" s="1"/>
  <c r="G7" i="2"/>
  <c r="M6" i="2"/>
  <c r="P6" i="2" s="1"/>
  <c r="L6" i="2"/>
  <c r="N6" i="2" s="1"/>
  <c r="K6" i="2"/>
  <c r="I6" i="2"/>
  <c r="G6" i="2"/>
  <c r="P5" i="2"/>
  <c r="M5" i="2"/>
  <c r="L5" i="2"/>
  <c r="O5" i="2" s="1"/>
  <c r="K5" i="2"/>
  <c r="I5" i="2"/>
  <c r="G5" i="2"/>
  <c r="K172" i="1" l="1"/>
  <c r="L172" i="1" s="1"/>
  <c r="K175" i="1"/>
  <c r="K176" i="1"/>
  <c r="K173" i="1"/>
  <c r="L173" i="1" s="1"/>
  <c r="N38" i="2"/>
  <c r="Q173" i="2"/>
  <c r="N41" i="2"/>
  <c r="N106" i="2"/>
  <c r="Q123" i="2"/>
  <c r="Q132" i="2"/>
  <c r="N172" i="2"/>
  <c r="O183" i="2"/>
  <c r="N105" i="2"/>
  <c r="N14" i="2"/>
  <c r="N25" i="2"/>
  <c r="N132" i="2"/>
  <c r="N135" i="2"/>
  <c r="N170" i="2"/>
  <c r="Q13" i="2"/>
  <c r="N40" i="2"/>
  <c r="Q70" i="2"/>
  <c r="Q174" i="2"/>
  <c r="N23" i="2"/>
  <c r="N8" i="2"/>
  <c r="N28" i="2"/>
  <c r="N59" i="2"/>
  <c r="N87" i="2"/>
  <c r="N111" i="2"/>
  <c r="Q136" i="2"/>
  <c r="N156" i="2"/>
  <c r="N169" i="2"/>
  <c r="N190" i="2"/>
  <c r="N191" i="2"/>
  <c r="Q192" i="2"/>
  <c r="Q199" i="2"/>
  <c r="N35" i="2"/>
  <c r="N66" i="2"/>
  <c r="N136" i="2"/>
  <c r="N142" i="2"/>
  <c r="Q143" i="2"/>
  <c r="Q163" i="2"/>
  <c r="N165" i="2"/>
  <c r="N188" i="2"/>
  <c r="O6" i="2"/>
  <c r="N5" i="2"/>
  <c r="Q7" i="2"/>
  <c r="N64" i="2"/>
  <c r="O122" i="2"/>
  <c r="Q122" i="2" s="1"/>
  <c r="N153" i="2"/>
  <c r="Q9" i="2"/>
  <c r="N159" i="2"/>
  <c r="P191" i="2"/>
  <c r="Q191" i="2" s="1"/>
  <c r="Q65" i="2"/>
  <c r="N37" i="2"/>
  <c r="N42" i="2"/>
  <c r="N58" i="2"/>
  <c r="O106" i="2"/>
  <c r="Q106" i="2" s="1"/>
  <c r="N129" i="2"/>
  <c r="N130" i="2"/>
  <c r="O131" i="2"/>
  <c r="Q131" i="2" s="1"/>
  <c r="N133" i="2"/>
  <c r="N180" i="2"/>
  <c r="Q181" i="2"/>
  <c r="N24" i="2"/>
  <c r="P24" i="2"/>
  <c r="Q24" i="2" s="1"/>
  <c r="N36" i="2"/>
  <c r="P36" i="2"/>
  <c r="Q36" i="2" s="1"/>
  <c r="P115" i="2"/>
  <c r="Q115" i="2" s="1"/>
  <c r="N115" i="2"/>
  <c r="P19" i="2"/>
  <c r="N19" i="2"/>
  <c r="Q53" i="2"/>
  <c r="P121" i="2"/>
  <c r="Q121" i="2" s="1"/>
  <c r="N121" i="2"/>
  <c r="P198" i="2"/>
  <c r="Q198" i="2" s="1"/>
  <c r="N198" i="2"/>
  <c r="P206" i="2"/>
  <c r="Q206" i="2" s="1"/>
  <c r="N206" i="2"/>
  <c r="N103" i="2"/>
  <c r="P103" i="2"/>
  <c r="Q103" i="2" s="1"/>
  <c r="Q47" i="2"/>
  <c r="Q112" i="2"/>
  <c r="P135" i="2"/>
  <c r="Q135" i="2" s="1"/>
  <c r="Q160" i="2"/>
  <c r="Q71" i="2"/>
  <c r="O14" i="2"/>
  <c r="Q14" i="2" s="1"/>
  <c r="Q19" i="2"/>
  <c r="P25" i="2"/>
  <c r="Q25" i="2" s="1"/>
  <c r="N30" i="2"/>
  <c r="N43" i="2"/>
  <c r="N55" i="2"/>
  <c r="N57" i="2"/>
  <c r="N60" i="2"/>
  <c r="N108" i="2"/>
  <c r="N110" i="2"/>
  <c r="O111" i="2"/>
  <c r="Q111" i="2" s="1"/>
  <c r="N116" i="2"/>
  <c r="P155" i="2"/>
  <c r="Q155" i="2" s="1"/>
  <c r="P156" i="2"/>
  <c r="Q156" i="2" s="1"/>
  <c r="P158" i="2"/>
  <c r="Q158" i="2" s="1"/>
  <c r="P159" i="2"/>
  <c r="Q159" i="2" s="1"/>
  <c r="N194" i="2"/>
  <c r="P201" i="2"/>
  <c r="Q201" i="2" s="1"/>
  <c r="Q10" i="2"/>
  <c r="N65" i="2"/>
  <c r="P87" i="2"/>
  <c r="Q87" i="2" s="1"/>
  <c r="Q141" i="2"/>
  <c r="N143" i="2"/>
  <c r="N144" i="2"/>
  <c r="Q149" i="2"/>
  <c r="N173" i="2"/>
  <c r="N174" i="2"/>
  <c r="N192" i="2"/>
  <c r="N199" i="2"/>
  <c r="N200" i="2"/>
  <c r="N7" i="2"/>
  <c r="N13" i="2"/>
  <c r="N12" i="2"/>
  <c r="N31" i="2"/>
  <c r="N39" i="2"/>
  <c r="N47" i="2"/>
  <c r="N63" i="2"/>
  <c r="N69" i="2"/>
  <c r="Q79" i="2"/>
  <c r="O93" i="2"/>
  <c r="Q93" i="2" s="1"/>
  <c r="N104" i="2"/>
  <c r="P105" i="2"/>
  <c r="Q105" i="2" s="1"/>
  <c r="N109" i="2"/>
  <c r="N112" i="2"/>
  <c r="Q150" i="2"/>
  <c r="N152" i="2"/>
  <c r="N168" i="2"/>
  <c r="N92" i="2"/>
  <c r="Q142" i="2"/>
  <c r="N15" i="2"/>
  <c r="Q46" i="2"/>
  <c r="N54" i="2"/>
  <c r="N56" i="2"/>
  <c r="N61" i="2"/>
  <c r="N84" i="2"/>
  <c r="Q100" i="2"/>
  <c r="P104" i="2"/>
  <c r="Q104" i="2" s="1"/>
  <c r="Q171" i="2"/>
  <c r="O188" i="2"/>
  <c r="Q188" i="2" s="1"/>
  <c r="O190" i="2"/>
  <c r="Q190" i="2" s="1"/>
  <c r="Q203" i="2"/>
  <c r="Q130" i="2"/>
  <c r="N181" i="2"/>
  <c r="P8" i="2"/>
  <c r="Q8" i="2" s="1"/>
  <c r="N20" i="2"/>
  <c r="N27" i="2"/>
  <c r="N32" i="2"/>
  <c r="Q45" i="2"/>
  <c r="N53" i="2"/>
  <c r="Q57" i="2"/>
  <c r="Q60" i="2"/>
  <c r="N71" i="2"/>
  <c r="Q90" i="2"/>
  <c r="N114" i="2"/>
  <c r="Q116" i="2"/>
  <c r="P129" i="2"/>
  <c r="Q129" i="2" s="1"/>
  <c r="N160" i="2"/>
  <c r="O165" i="2"/>
  <c r="Q165" i="2" s="1"/>
  <c r="N167" i="2"/>
  <c r="Q6" i="2"/>
  <c r="N18" i="2"/>
  <c r="P62" i="2"/>
  <c r="Q62" i="2" s="1"/>
  <c r="N62" i="2"/>
  <c r="N10" i="2"/>
  <c r="P67" i="2"/>
  <c r="Q67" i="2" s="1"/>
  <c r="N67" i="2"/>
  <c r="Q76" i="2"/>
  <c r="N78" i="2"/>
  <c r="N21" i="2"/>
  <c r="N45" i="2"/>
  <c r="P52" i="2"/>
  <c r="Q52" i="2" s="1"/>
  <c r="N52" i="2"/>
  <c r="P77" i="2"/>
  <c r="Q77" i="2" s="1"/>
  <c r="N77" i="2"/>
  <c r="N34" i="2"/>
  <c r="P34" i="2"/>
  <c r="Q34" i="2" s="1"/>
  <c r="N49" i="2"/>
  <c r="P29" i="2"/>
  <c r="Q29" i="2" s="1"/>
  <c r="N29" i="2"/>
  <c r="N33" i="2"/>
  <c r="N68" i="2"/>
  <c r="P68" i="2"/>
  <c r="Q68" i="2" s="1"/>
  <c r="Q78" i="2"/>
  <c r="P89" i="2"/>
  <c r="Q89" i="2" s="1"/>
  <c r="N89" i="2"/>
  <c r="N11" i="2"/>
  <c r="P11" i="2"/>
  <c r="P22" i="2"/>
  <c r="Q22" i="2" s="1"/>
  <c r="N22" i="2"/>
  <c r="P50" i="2"/>
  <c r="Q50" i="2" s="1"/>
  <c r="N50" i="2"/>
  <c r="N48" i="2"/>
  <c r="P48" i="2"/>
  <c r="Q48" i="2" s="1"/>
  <c r="P74" i="2"/>
  <c r="Q74" i="2" s="1"/>
  <c r="N74" i="2"/>
  <c r="P51" i="2"/>
  <c r="Q51" i="2" s="1"/>
  <c r="N51" i="2"/>
  <c r="P88" i="2"/>
  <c r="Q88" i="2" s="1"/>
  <c r="Q5" i="2"/>
  <c r="O83" i="2"/>
  <c r="Q83" i="2" s="1"/>
  <c r="N83" i="2"/>
  <c r="N137" i="2"/>
  <c r="P137" i="2"/>
  <c r="Q137" i="2" s="1"/>
  <c r="P154" i="2"/>
  <c r="Q154" i="2" s="1"/>
  <c r="N154" i="2"/>
  <c r="P12" i="2"/>
  <c r="Q12" i="2" s="1"/>
  <c r="P59" i="2"/>
  <c r="Q59" i="2" s="1"/>
  <c r="P66" i="2"/>
  <c r="Q66" i="2" s="1"/>
  <c r="P69" i="2"/>
  <c r="Q69" i="2" s="1"/>
  <c r="M73" i="2"/>
  <c r="P73" i="2" s="1"/>
  <c r="Q73" i="2" s="1"/>
  <c r="M82" i="2"/>
  <c r="M96" i="2"/>
  <c r="P96" i="2" s="1"/>
  <c r="Q102" i="2"/>
  <c r="N107" i="2"/>
  <c r="Q120" i="2"/>
  <c r="O124" i="2"/>
  <c r="Q124" i="2" s="1"/>
  <c r="N124" i="2"/>
  <c r="N141" i="2"/>
  <c r="P157" i="2"/>
  <c r="Q157" i="2" s="1"/>
  <c r="N157" i="2"/>
  <c r="O162" i="2"/>
  <c r="Q162" i="2" s="1"/>
  <c r="N162" i="2"/>
  <c r="M177" i="2"/>
  <c r="P177" i="2" s="1"/>
  <c r="Q177" i="2" s="1"/>
  <c r="M187" i="2"/>
  <c r="P187" i="2" s="1"/>
  <c r="Q187" i="2" s="1"/>
  <c r="N208" i="2"/>
  <c r="O80" i="2"/>
  <c r="Q80" i="2" s="1"/>
  <c r="N80" i="2"/>
  <c r="N100" i="2"/>
  <c r="O146" i="2"/>
  <c r="Q146" i="2" s="1"/>
  <c r="N146" i="2"/>
  <c r="Q183" i="2"/>
  <c r="G213" i="2"/>
  <c r="O15" i="2"/>
  <c r="Q15" i="2" s="1"/>
  <c r="N75" i="2"/>
  <c r="P94" i="2"/>
  <c r="Q94" i="2" s="1"/>
  <c r="N94" i="2"/>
  <c r="N99" i="2"/>
  <c r="N120" i="2"/>
  <c r="N148" i="2"/>
  <c r="N150" i="2"/>
  <c r="N175" i="2"/>
  <c r="P175" i="2"/>
  <c r="Q175" i="2" s="1"/>
  <c r="O185" i="2"/>
  <c r="Q185" i="2" s="1"/>
  <c r="N185" i="2"/>
  <c r="N195" i="2"/>
  <c r="P195" i="2"/>
  <c r="Q195" i="2" s="1"/>
  <c r="N197" i="2"/>
  <c r="P197" i="2"/>
  <c r="Q197" i="2" s="1"/>
  <c r="O209" i="2"/>
  <c r="Q209" i="2" s="1"/>
  <c r="N209" i="2"/>
  <c r="L16" i="2"/>
  <c r="L213" i="2" s="1"/>
  <c r="I213" i="2"/>
  <c r="P30" i="2"/>
  <c r="Q30" i="2" s="1"/>
  <c r="N44" i="2"/>
  <c r="N46" i="2"/>
  <c r="N76" i="2"/>
  <c r="M81" i="2"/>
  <c r="P81" i="2" s="1"/>
  <c r="N88" i="2"/>
  <c r="N91" i="2"/>
  <c r="O96" i="2"/>
  <c r="N98" i="2"/>
  <c r="Q99" i="2"/>
  <c r="P109" i="2"/>
  <c r="Q109" i="2" s="1"/>
  <c r="O117" i="2"/>
  <c r="Q117" i="2" s="1"/>
  <c r="N117" i="2"/>
  <c r="O138" i="2"/>
  <c r="Q138" i="2" s="1"/>
  <c r="N138" i="2"/>
  <c r="M147" i="2"/>
  <c r="P147" i="2" s="1"/>
  <c r="Q147" i="2" s="1"/>
  <c r="N179" i="2"/>
  <c r="P180" i="2"/>
  <c r="Q180" i="2" s="1"/>
  <c r="Q189" i="2"/>
  <c r="N204" i="2"/>
  <c r="N85" i="2"/>
  <c r="N102" i="2"/>
  <c r="K213" i="2"/>
  <c r="N72" i="2"/>
  <c r="O75" i="2"/>
  <c r="Q75" i="2" s="1"/>
  <c r="N79" i="2"/>
  <c r="P108" i="2"/>
  <c r="Q108" i="2" s="1"/>
  <c r="N119" i="2"/>
  <c r="N123" i="2"/>
  <c r="Q140" i="2"/>
  <c r="N161" i="2"/>
  <c r="P161" i="2"/>
  <c r="Q161" i="2" s="1"/>
  <c r="P170" i="2"/>
  <c r="Q170" i="2" s="1"/>
  <c r="M178" i="2"/>
  <c r="P178" i="2" s="1"/>
  <c r="Q178" i="2" s="1"/>
  <c r="M186" i="2"/>
  <c r="P186" i="2" s="1"/>
  <c r="Q186" i="2" s="1"/>
  <c r="P207" i="2"/>
  <c r="Q207" i="2" s="1"/>
  <c r="N207" i="2"/>
  <c r="P84" i="2"/>
  <c r="Q84" i="2" s="1"/>
  <c r="O101" i="2"/>
  <c r="Q101" i="2" s="1"/>
  <c r="N101" i="2"/>
  <c r="M118" i="2"/>
  <c r="P118" i="2" s="1"/>
  <c r="Q118" i="2" s="1"/>
  <c r="O125" i="2"/>
  <c r="Q125" i="2" s="1"/>
  <c r="N125" i="2"/>
  <c r="M139" i="2"/>
  <c r="P139" i="2" s="1"/>
  <c r="Q139" i="2" s="1"/>
  <c r="N145" i="2"/>
  <c r="P145" i="2"/>
  <c r="Q145" i="2" s="1"/>
  <c r="P202" i="2"/>
  <c r="Q202" i="2" s="1"/>
  <c r="N202" i="2"/>
  <c r="N70" i="2"/>
  <c r="Q72" i="2"/>
  <c r="O81" i="2"/>
  <c r="N90" i="2"/>
  <c r="O95" i="2"/>
  <c r="Q95" i="2" s="1"/>
  <c r="N95" i="2"/>
  <c r="N97" i="2"/>
  <c r="M126" i="2"/>
  <c r="M128" i="2"/>
  <c r="P128" i="2" s="1"/>
  <c r="Q128" i="2" s="1"/>
  <c r="N151" i="2"/>
  <c r="M164" i="2"/>
  <c r="P164" i="2" s="1"/>
  <c r="Q164" i="2" s="1"/>
  <c r="N171" i="2"/>
  <c r="P172" i="2"/>
  <c r="Q172" i="2" s="1"/>
  <c r="O176" i="2"/>
  <c r="Q176" i="2" s="1"/>
  <c r="N176" i="2"/>
  <c r="N184" i="2"/>
  <c r="P184" i="2"/>
  <c r="Q184" i="2" s="1"/>
  <c r="O196" i="2"/>
  <c r="Q196" i="2" s="1"/>
  <c r="N196" i="2"/>
  <c r="N205" i="2"/>
  <c r="P205" i="2"/>
  <c r="Q205" i="2" s="1"/>
  <c r="N163" i="2"/>
  <c r="N166" i="2"/>
  <c r="N140" i="2"/>
  <c r="N149" i="2"/>
  <c r="N178" i="2"/>
  <c r="N189" i="2"/>
  <c r="N203" i="2"/>
  <c r="J171" i="1"/>
  <c r="M171" i="1" s="1"/>
  <c r="K171" i="1"/>
  <c r="J170" i="1"/>
  <c r="M170" i="1" s="1"/>
  <c r="K170" i="1" l="1"/>
  <c r="O170" i="1" s="1"/>
  <c r="O171" i="1"/>
  <c r="L171" i="1"/>
  <c r="N164" i="2"/>
  <c r="N186" i="2"/>
  <c r="N96" i="2"/>
  <c r="Q96" i="2"/>
  <c r="N187" i="2"/>
  <c r="N147" i="2"/>
  <c r="N139" i="2"/>
  <c r="N128" i="2"/>
  <c r="M213" i="2"/>
  <c r="N213" i="2" s="1"/>
  <c r="N118" i="2"/>
  <c r="N73" i="2"/>
  <c r="P126" i="2"/>
  <c r="Q126" i="2" s="1"/>
  <c r="N126" i="2"/>
  <c r="N177" i="2"/>
  <c r="N81" i="2"/>
  <c r="O16" i="2"/>
  <c r="Q16" i="2" s="1"/>
  <c r="N16" i="2"/>
  <c r="Q11" i="2"/>
  <c r="Q81" i="2"/>
  <c r="N82" i="2"/>
  <c r="P82" i="2"/>
  <c r="Q82" i="2" s="1"/>
  <c r="E58" i="3"/>
  <c r="D58" i="3"/>
  <c r="C58" i="3"/>
  <c r="E56" i="3"/>
  <c r="D56" i="3"/>
  <c r="C56" i="3"/>
  <c r="D55" i="3"/>
  <c r="C55" i="3"/>
  <c r="B55" i="3"/>
  <c r="E54" i="3"/>
  <c r="D54" i="3"/>
  <c r="C54" i="3"/>
  <c r="B54" i="3"/>
  <c r="J182" i="1"/>
  <c r="M182" i="1" s="1"/>
  <c r="K182" i="1"/>
  <c r="J181" i="1"/>
  <c r="M181" i="1" s="1"/>
  <c r="K181" i="1"/>
  <c r="J180" i="1"/>
  <c r="M180" i="1" s="1"/>
  <c r="K180" i="1"/>
  <c r="J179" i="1"/>
  <c r="M179" i="1" s="1"/>
  <c r="K179" i="1"/>
  <c r="K178" i="1"/>
  <c r="J178" i="1"/>
  <c r="M178" i="1" s="1"/>
  <c r="J177" i="1"/>
  <c r="M177" i="1" s="1"/>
  <c r="K177" i="1"/>
  <c r="J176" i="1"/>
  <c r="M176" i="1" s="1"/>
  <c r="J175" i="1"/>
  <c r="M175" i="1" s="1"/>
  <c r="J169" i="1"/>
  <c r="M169" i="1" s="1"/>
  <c r="K169" i="1"/>
  <c r="J167" i="1"/>
  <c r="M167" i="1" s="1"/>
  <c r="J138" i="1"/>
  <c r="M138" i="1" s="1"/>
  <c r="K138" i="1"/>
  <c r="J137" i="1"/>
  <c r="M137" i="1" s="1"/>
  <c r="J136" i="1"/>
  <c r="M136" i="1" s="1"/>
  <c r="J134" i="1"/>
  <c r="M134" i="1" s="1"/>
  <c r="K133" i="1"/>
  <c r="J133" i="1"/>
  <c r="M133" i="1" s="1"/>
  <c r="K132" i="1"/>
  <c r="J132" i="1"/>
  <c r="M132" i="1" s="1"/>
  <c r="K131" i="1"/>
  <c r="J131" i="1"/>
  <c r="M131" i="1" s="1"/>
  <c r="K130" i="1"/>
  <c r="J130" i="1"/>
  <c r="M130" i="1" s="1"/>
  <c r="K129" i="1"/>
  <c r="J129" i="1"/>
  <c r="M129" i="1" s="1"/>
  <c r="K128" i="1"/>
  <c r="J128" i="1"/>
  <c r="M128" i="1" s="1"/>
  <c r="K127" i="1"/>
  <c r="J127" i="1"/>
  <c r="M127" i="1" s="1"/>
  <c r="J125" i="1"/>
  <c r="M125" i="1" s="1"/>
  <c r="K125" i="1"/>
  <c r="J124" i="1"/>
  <c r="K124" i="1"/>
  <c r="J123" i="1"/>
  <c r="K123" i="1"/>
  <c r="J122" i="1"/>
  <c r="M122" i="1" s="1"/>
  <c r="K122" i="1"/>
  <c r="J121" i="1"/>
  <c r="M121" i="1" s="1"/>
  <c r="K121" i="1"/>
  <c r="J120" i="1"/>
  <c r="M120" i="1" s="1"/>
  <c r="K120" i="1"/>
  <c r="K119" i="1"/>
  <c r="J119" i="1"/>
  <c r="M119" i="1" s="1"/>
  <c r="J118" i="1"/>
  <c r="M118" i="1" s="1"/>
  <c r="K118" i="1"/>
  <c r="J117" i="1"/>
  <c r="M117" i="1" s="1"/>
  <c r="K116" i="1"/>
  <c r="J116" i="1"/>
  <c r="M116" i="1" s="1"/>
  <c r="J111" i="1"/>
  <c r="M111" i="1" s="1"/>
  <c r="J110" i="1"/>
  <c r="M110" i="1" s="1"/>
  <c r="K110" i="1"/>
  <c r="J109" i="1"/>
  <c r="M109" i="1" s="1"/>
  <c r="K109" i="1"/>
  <c r="J108" i="1"/>
  <c r="M108" i="1" s="1"/>
  <c r="K108" i="1"/>
  <c r="J107" i="1"/>
  <c r="M107" i="1" s="1"/>
  <c r="K107" i="1"/>
  <c r="J106" i="1"/>
  <c r="M106" i="1" s="1"/>
  <c r="K106" i="1"/>
  <c r="J105" i="1"/>
  <c r="M105" i="1" s="1"/>
  <c r="K105" i="1"/>
  <c r="J104" i="1"/>
  <c r="M104" i="1" s="1"/>
  <c r="K104" i="1"/>
  <c r="J103" i="1"/>
  <c r="M103" i="1" s="1"/>
  <c r="K103" i="1"/>
  <c r="H99" i="1"/>
  <c r="D99" i="1"/>
  <c r="J96" i="1"/>
  <c r="M96" i="1" s="1"/>
  <c r="G96" i="1"/>
  <c r="I96" i="1" s="1"/>
  <c r="J94" i="1"/>
  <c r="M94" i="1" s="1"/>
  <c r="G94" i="1"/>
  <c r="I94" i="1" s="1"/>
  <c r="J91" i="1"/>
  <c r="M91" i="1" s="1"/>
  <c r="G91" i="1"/>
  <c r="I91" i="1" s="1"/>
  <c r="J89" i="1"/>
  <c r="M89" i="1" s="1"/>
  <c r="G89" i="1"/>
  <c r="I89" i="1" s="1"/>
  <c r="J88" i="1"/>
  <c r="M88" i="1" s="1"/>
  <c r="G88" i="1"/>
  <c r="I88" i="1" s="1"/>
  <c r="J87" i="1"/>
  <c r="M87" i="1" s="1"/>
  <c r="G87" i="1"/>
  <c r="I87" i="1" s="1"/>
  <c r="J86" i="1"/>
  <c r="M86" i="1" s="1"/>
  <c r="G86" i="1"/>
  <c r="I86" i="1" s="1"/>
  <c r="J85" i="1"/>
  <c r="M85" i="1" s="1"/>
  <c r="G85" i="1"/>
  <c r="I85" i="1" s="1"/>
  <c r="J84" i="1"/>
  <c r="M84" i="1" s="1"/>
  <c r="G84" i="1"/>
  <c r="I84" i="1" s="1"/>
  <c r="J83" i="1"/>
  <c r="M83" i="1" s="1"/>
  <c r="G83" i="1"/>
  <c r="I83" i="1" s="1"/>
  <c r="J82" i="1"/>
  <c r="M82" i="1" s="1"/>
  <c r="G82" i="1"/>
  <c r="I82" i="1" s="1"/>
  <c r="J81" i="1"/>
  <c r="M81" i="1" s="1"/>
  <c r="G81" i="1"/>
  <c r="I81" i="1" s="1"/>
  <c r="J80" i="1"/>
  <c r="M80" i="1" s="1"/>
  <c r="G80" i="1"/>
  <c r="I80" i="1" s="1"/>
  <c r="J79" i="1"/>
  <c r="M79" i="1" s="1"/>
  <c r="G79" i="1"/>
  <c r="I79" i="1" s="1"/>
  <c r="J78" i="1"/>
  <c r="M78" i="1" s="1"/>
  <c r="G78" i="1"/>
  <c r="I78" i="1" s="1"/>
  <c r="J77" i="1"/>
  <c r="M77" i="1" s="1"/>
  <c r="G77" i="1"/>
  <c r="I77" i="1" s="1"/>
  <c r="J76" i="1"/>
  <c r="M76" i="1" s="1"/>
  <c r="G76" i="1"/>
  <c r="I76" i="1" s="1"/>
  <c r="J75" i="1"/>
  <c r="M75" i="1" s="1"/>
  <c r="G75" i="1"/>
  <c r="I75" i="1" s="1"/>
  <c r="J74" i="1"/>
  <c r="M74" i="1" s="1"/>
  <c r="G74" i="1"/>
  <c r="I74" i="1" s="1"/>
  <c r="J73" i="1"/>
  <c r="M73" i="1" s="1"/>
  <c r="G73" i="1"/>
  <c r="I73" i="1" s="1"/>
  <c r="J72" i="1"/>
  <c r="M72" i="1" s="1"/>
  <c r="G72" i="1"/>
  <c r="I72" i="1" s="1"/>
  <c r="J71" i="1"/>
  <c r="M71" i="1" s="1"/>
  <c r="G71" i="1"/>
  <c r="I71" i="1" s="1"/>
  <c r="J70" i="1"/>
  <c r="M70" i="1" s="1"/>
  <c r="J69" i="1"/>
  <c r="M69" i="1" s="1"/>
  <c r="J68" i="1"/>
  <c r="M68" i="1" s="1"/>
  <c r="G68" i="1"/>
  <c r="I68" i="1" s="1"/>
  <c r="J67" i="1"/>
  <c r="M67" i="1" s="1"/>
  <c r="J66" i="1"/>
  <c r="M66" i="1" s="1"/>
  <c r="J65" i="1"/>
  <c r="M65" i="1" s="1"/>
  <c r="J64" i="1"/>
  <c r="M64" i="1" s="1"/>
  <c r="I62" i="1"/>
  <c r="I101" i="1" s="1"/>
  <c r="G62" i="1"/>
  <c r="G101" i="1" s="1"/>
  <c r="E62" i="1"/>
  <c r="E101" i="1" s="1"/>
  <c r="H59" i="1"/>
  <c r="H35" i="1"/>
  <c r="F35" i="1"/>
  <c r="D35" i="1"/>
  <c r="J33" i="1"/>
  <c r="M33" i="1" s="1"/>
  <c r="G33" i="1"/>
  <c r="I33" i="1" s="1"/>
  <c r="J31" i="1"/>
  <c r="M31" i="1" s="1"/>
  <c r="G31" i="1"/>
  <c r="J30" i="1"/>
  <c r="M30" i="1" s="1"/>
  <c r="G30" i="1"/>
  <c r="J29" i="1"/>
  <c r="M29" i="1" s="1"/>
  <c r="G29" i="1"/>
  <c r="J28" i="1"/>
  <c r="M28" i="1" s="1"/>
  <c r="G28" i="1"/>
  <c r="J24" i="1"/>
  <c r="M24" i="1" s="1"/>
  <c r="G24" i="1"/>
  <c r="J22" i="1"/>
  <c r="M22" i="1" s="1"/>
  <c r="G22" i="1"/>
  <c r="I22" i="1" s="1"/>
  <c r="J21" i="1"/>
  <c r="M21" i="1" s="1"/>
  <c r="G21" i="1"/>
  <c r="J20" i="1"/>
  <c r="M20" i="1" s="1"/>
  <c r="G20" i="1"/>
  <c r="I20" i="1" s="1"/>
  <c r="J19" i="1"/>
  <c r="M19" i="1" s="1"/>
  <c r="I19" i="1"/>
  <c r="G19" i="1"/>
  <c r="J18" i="1"/>
  <c r="M18" i="1" s="1"/>
  <c r="I18" i="1"/>
  <c r="G18" i="1"/>
  <c r="J17" i="1"/>
  <c r="M17" i="1" s="1"/>
  <c r="I17" i="1"/>
  <c r="G17" i="1"/>
  <c r="J16" i="1"/>
  <c r="M16" i="1" s="1"/>
  <c r="I16" i="1"/>
  <c r="G16" i="1"/>
  <c r="J15" i="1"/>
  <c r="M15" i="1" s="1"/>
  <c r="I15" i="1"/>
  <c r="G15" i="1"/>
  <c r="J14" i="1"/>
  <c r="M14" i="1" s="1"/>
  <c r="J13" i="1"/>
  <c r="M13" i="1" s="1"/>
  <c r="I13" i="1"/>
  <c r="M123" i="1" l="1"/>
  <c r="O123" i="1" s="1"/>
  <c r="M124" i="1"/>
  <c r="O124" i="1" s="1"/>
  <c r="J220" i="1"/>
  <c r="I30" i="1"/>
  <c r="K30" i="1" s="1"/>
  <c r="L30" i="1" s="1"/>
  <c r="I21" i="1"/>
  <c r="K21" i="1" s="1"/>
  <c r="L21" i="1" s="1"/>
  <c r="I31" i="1"/>
  <c r="K31" i="1" s="1"/>
  <c r="I29" i="1"/>
  <c r="K29" i="1" s="1"/>
  <c r="I24" i="1"/>
  <c r="K24" i="1" s="1"/>
  <c r="I28" i="1"/>
  <c r="K28" i="1" s="1"/>
  <c r="L116" i="1"/>
  <c r="O130" i="1"/>
  <c r="O127" i="1"/>
  <c r="O131" i="1"/>
  <c r="O122" i="1"/>
  <c r="O180" i="1"/>
  <c r="O176" i="1"/>
  <c r="O179" i="1"/>
  <c r="O119" i="1"/>
  <c r="O133" i="1"/>
  <c r="O104" i="1"/>
  <c r="O169" i="1"/>
  <c r="O181" i="1"/>
  <c r="O121" i="1"/>
  <c r="O125" i="1"/>
  <c r="L170" i="1"/>
  <c r="O106" i="1"/>
  <c r="O118" i="1"/>
  <c r="O138" i="1"/>
  <c r="O182" i="1"/>
  <c r="K72" i="1"/>
  <c r="O72" i="1" s="1"/>
  <c r="K80" i="1"/>
  <c r="O80" i="1" s="1"/>
  <c r="K88" i="1"/>
  <c r="L88" i="1" s="1"/>
  <c r="K81" i="1"/>
  <c r="O81" i="1" s="1"/>
  <c r="K89" i="1"/>
  <c r="O89" i="1" s="1"/>
  <c r="K71" i="1"/>
  <c r="O71" i="1" s="1"/>
  <c r="K79" i="1"/>
  <c r="L79" i="1" s="1"/>
  <c r="L109" i="1"/>
  <c r="K83" i="1"/>
  <c r="O83" i="1" s="1"/>
  <c r="L128" i="1"/>
  <c r="K20" i="1"/>
  <c r="L20" i="1" s="1"/>
  <c r="O24" i="1"/>
  <c r="K16" i="1"/>
  <c r="L16" i="1" s="1"/>
  <c r="O31" i="1"/>
  <c r="K76" i="1"/>
  <c r="L76" i="1" s="1"/>
  <c r="K22" i="1"/>
  <c r="O22" i="1" s="1"/>
  <c r="K15" i="1"/>
  <c r="L15" i="1" s="1"/>
  <c r="K18" i="1"/>
  <c r="O18" i="1" s="1"/>
  <c r="K74" i="1"/>
  <c r="O74" i="1" s="1"/>
  <c r="O178" i="1"/>
  <c r="K111" i="1"/>
  <c r="O111" i="1" s="1"/>
  <c r="K167" i="1"/>
  <c r="O167" i="1" s="1"/>
  <c r="K134" i="1"/>
  <c r="K87" i="1"/>
  <c r="O87" i="1" s="1"/>
  <c r="G13" i="1"/>
  <c r="K13" i="1" s="1"/>
  <c r="K70" i="1"/>
  <c r="O70" i="1" s="1"/>
  <c r="O29" i="1"/>
  <c r="K78" i="1"/>
  <c r="O78" i="1" s="1"/>
  <c r="K91" i="1"/>
  <c r="L91" i="1" s="1"/>
  <c r="K96" i="1"/>
  <c r="O96" i="1" s="1"/>
  <c r="E99" i="1"/>
  <c r="L107" i="1"/>
  <c r="G64" i="1"/>
  <c r="K69" i="1"/>
  <c r="K85" i="1"/>
  <c r="O85" i="1" s="1"/>
  <c r="K137" i="1"/>
  <c r="O137" i="1" s="1"/>
  <c r="L176" i="1"/>
  <c r="G220" i="1"/>
  <c r="K117" i="1"/>
  <c r="O117" i="1" s="1"/>
  <c r="E35" i="1"/>
  <c r="G14" i="1"/>
  <c r="K33" i="1"/>
  <c r="K77" i="1"/>
  <c r="K86" i="1"/>
  <c r="O86" i="1" s="1"/>
  <c r="K94" i="1"/>
  <c r="L94" i="1" s="1"/>
  <c r="I220" i="1"/>
  <c r="L120" i="1"/>
  <c r="O177" i="1"/>
  <c r="K19" i="1"/>
  <c r="L19" i="1" s="1"/>
  <c r="K68" i="1"/>
  <c r="O68" i="1" s="1"/>
  <c r="K75" i="1"/>
  <c r="O75" i="1" s="1"/>
  <c r="K84" i="1"/>
  <c r="O84" i="1" s="1"/>
  <c r="L130" i="1"/>
  <c r="K17" i="1"/>
  <c r="O28" i="1"/>
  <c r="K73" i="1"/>
  <c r="O73" i="1" s="1"/>
  <c r="K82" i="1"/>
  <c r="O82" i="1" s="1"/>
  <c r="K136" i="1"/>
  <c r="O136" i="1" s="1"/>
  <c r="L104" i="1"/>
  <c r="G66" i="1"/>
  <c r="O105" i="1"/>
  <c r="L123" i="1"/>
  <c r="L129" i="1"/>
  <c r="L180" i="1"/>
  <c r="G65" i="1"/>
  <c r="L132" i="1"/>
  <c r="L169" i="1"/>
  <c r="L124" i="1"/>
  <c r="E220" i="1"/>
  <c r="L175" i="1"/>
  <c r="O175" i="1"/>
  <c r="L179" i="1"/>
  <c r="O213" i="2"/>
  <c r="P213" i="2"/>
  <c r="L178" i="1"/>
  <c r="L127" i="1"/>
  <c r="L177" i="1"/>
  <c r="J35" i="1"/>
  <c r="L122" i="1"/>
  <c r="L181" i="1"/>
  <c r="L103" i="1"/>
  <c r="L105" i="1"/>
  <c r="L133" i="1"/>
  <c r="L182" i="1"/>
  <c r="L131" i="1"/>
  <c r="O109" i="1"/>
  <c r="O21" i="1"/>
  <c r="O103" i="1"/>
  <c r="J99" i="1"/>
  <c r="L108" i="1"/>
  <c r="L119" i="1"/>
  <c r="L138" i="1"/>
  <c r="K67" i="1"/>
  <c r="L110" i="1"/>
  <c r="L121" i="1"/>
  <c r="L125" i="1"/>
  <c r="L106" i="1"/>
  <c r="L118" i="1"/>
  <c r="I64" i="1" l="1"/>
  <c r="I65" i="1"/>
  <c r="K65" i="1" s="1"/>
  <c r="L65" i="1" s="1"/>
  <c r="I66" i="1"/>
  <c r="K66" i="1" s="1"/>
  <c r="L66" i="1" s="1"/>
  <c r="I14" i="1"/>
  <c r="I35" i="1" s="1"/>
  <c r="O88" i="1"/>
  <c r="L80" i="1"/>
  <c r="L86" i="1"/>
  <c r="L72" i="1"/>
  <c r="L31" i="1"/>
  <c r="O69" i="1"/>
  <c r="O16" i="1"/>
  <c r="L89" i="1"/>
  <c r="L81" i="1"/>
  <c r="O20" i="1"/>
  <c r="L71" i="1"/>
  <c r="L167" i="1"/>
  <c r="O19" i="1"/>
  <c r="O76" i="1"/>
  <c r="O79" i="1"/>
  <c r="O30" i="1"/>
  <c r="L24" i="1"/>
  <c r="L74" i="1"/>
  <c r="L84" i="1"/>
  <c r="L96" i="1"/>
  <c r="L83" i="1"/>
  <c r="L78" i="1"/>
  <c r="L111" i="1"/>
  <c r="L22" i="1"/>
  <c r="L69" i="1"/>
  <c r="L70" i="1"/>
  <c r="L29" i="1"/>
  <c r="O15" i="1"/>
  <c r="L77" i="1"/>
  <c r="L87" i="1"/>
  <c r="L136" i="1"/>
  <c r="L117" i="1"/>
  <c r="L28" i="1"/>
  <c r="L18" i="1"/>
  <c r="O134" i="1"/>
  <c r="K220" i="1"/>
  <c r="O13" i="1"/>
  <c r="L13" i="1"/>
  <c r="L134" i="1"/>
  <c r="L17" i="1"/>
  <c r="L137" i="1"/>
  <c r="L68" i="1"/>
  <c r="G35" i="1"/>
  <c r="O17" i="1"/>
  <c r="O66" i="1"/>
  <c r="L82" i="1"/>
  <c r="L73" i="1"/>
  <c r="O77" i="1"/>
  <c r="L85" i="1"/>
  <c r="L75" i="1"/>
  <c r="O94" i="1"/>
  <c r="O65" i="1"/>
  <c r="G99" i="1"/>
  <c r="Q213" i="2"/>
  <c r="M99" i="1"/>
  <c r="M35" i="1"/>
  <c r="L67" i="1"/>
  <c r="I99" i="1" l="1"/>
  <c r="K64" i="1"/>
  <c r="K14" i="1"/>
  <c r="L220" i="1"/>
  <c r="N220" i="1"/>
  <c r="N35" i="1"/>
  <c r="M220" i="1"/>
  <c r="N99" i="1"/>
  <c r="O99" i="1" s="1"/>
  <c r="O67" i="1"/>
  <c r="O35" i="1" l="1"/>
  <c r="O64" i="1"/>
  <c r="K99" i="1"/>
  <c r="L99" i="1" s="1"/>
  <c r="L64" i="1"/>
  <c r="O14" i="1"/>
  <c r="K35" i="1"/>
  <c r="L35" i="1" s="1"/>
  <c r="L14" i="1"/>
  <c r="O220" i="1"/>
</calcChain>
</file>

<file path=xl/sharedStrings.xml><?xml version="1.0" encoding="utf-8"?>
<sst xmlns="http://schemas.openxmlformats.org/spreadsheetml/2006/main" count="909" uniqueCount="653">
  <si>
    <t xml:space="preserve"> </t>
  </si>
  <si>
    <t>Anexo 11</t>
  </si>
  <si>
    <t>Flujo contable trimestral de Ingresos y Egresos</t>
  </si>
  <si>
    <t xml:space="preserve">INFORME DE AVANCE DE GESTIÓN </t>
  </si>
  <si>
    <t>FINANCIERA</t>
  </si>
  <si>
    <t>Clave:</t>
  </si>
  <si>
    <t>Ente Fiscalizado:</t>
  </si>
  <si>
    <t>Municipio de San Francisco de los Romo</t>
  </si>
  <si>
    <t>Período:</t>
  </si>
  <si>
    <t>INGRESOS</t>
  </si>
  <si>
    <t>CUENTA</t>
  </si>
  <si>
    <t>MES</t>
  </si>
  <si>
    <t>ACUMULADO TRIMESTRAL</t>
  </si>
  <si>
    <t>%</t>
  </si>
  <si>
    <t>ACUMULADO DEL EJERCICIO</t>
  </si>
  <si>
    <t>CLAVE</t>
  </si>
  <si>
    <t>NOMBRE</t>
  </si>
  <si>
    <t>REAL</t>
  </si>
  <si>
    <t>PRESUPUESTO PROGRAMADO</t>
  </si>
  <si>
    <t>EFICIENCIA TRIMESTRAL</t>
  </si>
  <si>
    <t>TOTAL</t>
  </si>
  <si>
    <t>EGRESOS</t>
  </si>
  <si>
    <t>EGRESOS POR PROGRAMAS</t>
  </si>
  <si>
    <t>EFICIENCIA DEL EJERCICIO</t>
  </si>
  <si>
    <t>F001</t>
  </si>
  <si>
    <t>F003</t>
  </si>
  <si>
    <t>F005</t>
  </si>
  <si>
    <t>F007</t>
  </si>
  <si>
    <t>F008</t>
  </si>
  <si>
    <t>F011</t>
  </si>
  <si>
    <t>F013</t>
  </si>
  <si>
    <t>F016</t>
  </si>
  <si>
    <t>F017</t>
  </si>
  <si>
    <t>F018</t>
  </si>
  <si>
    <t>F019</t>
  </si>
  <si>
    <t>F022</t>
  </si>
  <si>
    <t>F023</t>
  </si>
  <si>
    <t>F024</t>
  </si>
  <si>
    <t>F025</t>
  </si>
  <si>
    <t>F026</t>
  </si>
  <si>
    <t>F027</t>
  </si>
  <si>
    <t>F029</t>
  </si>
  <si>
    <t>F031</t>
  </si>
  <si>
    <t>F032</t>
  </si>
  <si>
    <t>F035</t>
  </si>
  <si>
    <t>F036</t>
  </si>
  <si>
    <t>F037</t>
  </si>
  <si>
    <t>F038</t>
  </si>
  <si>
    <t>F043</t>
  </si>
  <si>
    <t>J001</t>
  </si>
  <si>
    <t>PENSIONES Y JUBILACIONES</t>
  </si>
  <si>
    <t>K006</t>
  </si>
  <si>
    <t>K007</t>
  </si>
  <si>
    <t>K008</t>
  </si>
  <si>
    <t>L001</t>
  </si>
  <si>
    <t>R023</t>
  </si>
  <si>
    <t>R029</t>
  </si>
  <si>
    <t>R030</t>
  </si>
  <si>
    <t>Fortalecimiento de las capacidades de evaluación en control de confianza</t>
  </si>
  <si>
    <t>R033</t>
  </si>
  <si>
    <t>R034</t>
  </si>
  <si>
    <t>R035</t>
  </si>
  <si>
    <t>R036</t>
  </si>
  <si>
    <t>S002</t>
  </si>
  <si>
    <t>S004</t>
  </si>
  <si>
    <t>S006</t>
  </si>
  <si>
    <t>S007</t>
  </si>
  <si>
    <t>S008</t>
  </si>
  <si>
    <t>T001</t>
  </si>
  <si>
    <t>R024</t>
  </si>
  <si>
    <t>S005</t>
  </si>
  <si>
    <t>presidencia</t>
  </si>
  <si>
    <t>julio</t>
  </si>
  <si>
    <t>agosto</t>
  </si>
  <si>
    <t>sept</t>
  </si>
  <si>
    <t>dispo</t>
  </si>
  <si>
    <t>JUVENTUD</t>
  </si>
  <si>
    <t>COMUNICACIÓN</t>
  </si>
  <si>
    <t>MUJER</t>
  </si>
  <si>
    <t>RELACIONES PPUB</t>
  </si>
  <si>
    <t>GESTION</t>
  </si>
  <si>
    <t>DIF</t>
  </si>
  <si>
    <t>SUB DIF</t>
  </si>
  <si>
    <t>PROGRAMAS</t>
  </si>
  <si>
    <t>REHABIL</t>
  </si>
  <si>
    <t>JURIDI</t>
  </si>
  <si>
    <t>INAPAM</t>
  </si>
  <si>
    <t>SICOLOGIA</t>
  </si>
  <si>
    <t>HABILIDADES</t>
  </si>
  <si>
    <t>PUERTE</t>
  </si>
  <si>
    <t>ESCONDIDA</t>
  </si>
  <si>
    <t>CONTRALORIA</t>
  </si>
  <si>
    <t>CONTROL PATRIMONIAL</t>
  </si>
  <si>
    <t>AYUNTA</t>
  </si>
  <si>
    <t>REGLAME</t>
  </si>
  <si>
    <t>FOMENTO</t>
  </si>
  <si>
    <t>CIVICO</t>
  </si>
  <si>
    <t>CONTROL SANITA</t>
  </si>
  <si>
    <t>PROTE CIVIL</t>
  </si>
  <si>
    <t>GESTION JURI</t>
  </si>
  <si>
    <t>JUECES</t>
  </si>
  <si>
    <t>FINANZAS</t>
  </si>
  <si>
    <t>INGRESOS Y EGRE</t>
  </si>
  <si>
    <t>COMPRAS</t>
  </si>
  <si>
    <t>RH</t>
  </si>
  <si>
    <t xml:space="preserve">SUB </t>
  </si>
  <si>
    <t>DESA SOCIAL</t>
  </si>
  <si>
    <t>AGROPE</t>
  </si>
  <si>
    <t>CONCER</t>
  </si>
  <si>
    <t>TURIS</t>
  </si>
  <si>
    <t>ECONO</t>
  </si>
  <si>
    <t>SUB</t>
  </si>
  <si>
    <t>URBA</t>
  </si>
  <si>
    <t>PLANES</t>
  </si>
  <si>
    <t>USO DE SU</t>
  </si>
  <si>
    <t>OBRAS</t>
  </si>
  <si>
    <t>PROYECTO</t>
  </si>
  <si>
    <t>SUPER</t>
  </si>
  <si>
    <t>SERV P</t>
  </si>
  <si>
    <t>LIMP</t>
  </si>
  <si>
    <t>ASEO</t>
  </si>
  <si>
    <t>ECOLOGIA</t>
  </si>
  <si>
    <t>ALUMB</t>
  </si>
  <si>
    <t>CORPORATI</t>
  </si>
  <si>
    <t>4111</t>
  </si>
  <si>
    <t>4112</t>
  </si>
  <si>
    <t>4113</t>
  </si>
  <si>
    <t>4117</t>
  </si>
  <si>
    <t>4143</t>
  </si>
  <si>
    <t>4151</t>
  </si>
  <si>
    <t>4211</t>
  </si>
  <si>
    <t>4212</t>
  </si>
  <si>
    <t>4213</t>
  </si>
  <si>
    <t>4214</t>
  </si>
  <si>
    <t>IMPUESTOS SOBRE LOS INGRESOS</t>
  </si>
  <si>
    <t>IMPUESTOS SOBRE EL PATRIMONIO</t>
  </si>
  <si>
    <t>IMPUESTOS SOBRE LA PRODUCCIÓN, EL CONSUMO Y LAS TRANSACCIONES</t>
  </si>
  <si>
    <t>ACCESORIOS DE IMPUESTOS</t>
  </si>
  <si>
    <t>OTROS IMPUESTOS</t>
  </si>
  <si>
    <t>DERECHOS POR PRESTACIÓN DE SERVICIOS</t>
  </si>
  <si>
    <t>ACCESORIOS DE DERECHOS</t>
  </si>
  <si>
    <t>PARTICIPACIONES</t>
  </si>
  <si>
    <t>APORTACIONES</t>
  </si>
  <si>
    <t>CONVENIOS</t>
  </si>
  <si>
    <t>INCENTIVOS DERIVADOS DE LA COLABORACIÓN FISCAL</t>
  </si>
  <si>
    <t>5111</t>
  </si>
  <si>
    <t>5112</t>
  </si>
  <si>
    <t>5113</t>
  </si>
  <si>
    <t>5114</t>
  </si>
  <si>
    <t>5115</t>
  </si>
  <si>
    <t>5121</t>
  </si>
  <si>
    <t>5122</t>
  </si>
  <si>
    <t>5124</t>
  </si>
  <si>
    <t>5126</t>
  </si>
  <si>
    <t>5127</t>
  </si>
  <si>
    <t>5129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</si>
  <si>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</si>
  <si>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</si>
  <si>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</si>
  <si>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</si>
  <si>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</si>
  <si>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</si>
  <si>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</si>
  <si>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</si>
  <si>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</si>
  <si>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</si>
  <si>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</si>
  <si>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</si>
  <si>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</si>
  <si>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</si>
  <si>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</si>
  <si>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</si>
  <si>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</si>
  <si>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</si>
  <si>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</si>
  <si>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</si>
  <si>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</si>
  <si>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</si>
  <si>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</si>
  <si>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</si>
  <si>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</si>
  <si>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</si>
  <si>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</si>
  <si>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</si>
  <si>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</si>
  <si>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CONTRIBUCCIONES Y MEJORAS  POR OBRAS PUBLICAS</t>
  </si>
  <si>
    <t>MATERIAS PRIMAS Y MATERIALES DE PRODUCCIÓN Y COMERCIALIZACIÓN</t>
  </si>
  <si>
    <t>PRODUCTOS QUÍMICOS, FARMACÉUTICOS Y DE LABORATORIO</t>
  </si>
  <si>
    <t>MATERIALES Y SUMINISTROS PARA SEGURIDAD</t>
  </si>
  <si>
    <t>TRANSFERENCIAS INTERNAS Y ASIGNACIONES AL SECTOR PÚBLICO</t>
  </si>
  <si>
    <t>AYUDAS SOCIALES</t>
  </si>
  <si>
    <t>EQUIPO E INSTRUMENTAL MÉDICO Y DE LABORATORIO</t>
  </si>
  <si>
    <t>OBRA PÚBLICA EN BIENES DE DOMINIO PÚBLICO</t>
  </si>
  <si>
    <t>E003</t>
  </si>
  <si>
    <t>E004</t>
  </si>
  <si>
    <t>E006</t>
  </si>
  <si>
    <t>E007</t>
  </si>
  <si>
    <t>E008</t>
  </si>
  <si>
    <t>E012</t>
  </si>
  <si>
    <t>F002</t>
  </si>
  <si>
    <t>F004</t>
  </si>
  <si>
    <t>F006</t>
  </si>
  <si>
    <t>F009</t>
  </si>
  <si>
    <t>F012</t>
  </si>
  <si>
    <t>F014</t>
  </si>
  <si>
    <t>F015</t>
  </si>
  <si>
    <t>F020</t>
  </si>
  <si>
    <t>F021</t>
  </si>
  <si>
    <t>F028</t>
  </si>
  <si>
    <t>F030</t>
  </si>
  <si>
    <t>F033</t>
  </si>
  <si>
    <t>F034</t>
  </si>
  <si>
    <t>F039</t>
  </si>
  <si>
    <t>F040</t>
  </si>
  <si>
    <t>F041</t>
  </si>
  <si>
    <t>F042</t>
  </si>
  <si>
    <t>F044</t>
  </si>
  <si>
    <t>K002</t>
  </si>
  <si>
    <t>K003</t>
  </si>
  <si>
    <t>K004</t>
  </si>
  <si>
    <t>K005</t>
  </si>
  <si>
    <t>O006</t>
  </si>
  <si>
    <t>R006</t>
  </si>
  <si>
    <t>R007</t>
  </si>
  <si>
    <t>R008</t>
  </si>
  <si>
    <t>R010</t>
  </si>
  <si>
    <t>R011</t>
  </si>
  <si>
    <t>R012</t>
  </si>
  <si>
    <t>R013</t>
  </si>
  <si>
    <t>R014</t>
  </si>
  <si>
    <t>R018</t>
  </si>
  <si>
    <t>R019</t>
  </si>
  <si>
    <t>R020</t>
  </si>
  <si>
    <t>R026</t>
  </si>
  <si>
    <t>R051</t>
  </si>
  <si>
    <t>R052</t>
  </si>
  <si>
    <t>R053</t>
  </si>
  <si>
    <t>R070</t>
  </si>
  <si>
    <t>R073</t>
  </si>
  <si>
    <t>R074</t>
  </si>
  <si>
    <t>R075</t>
  </si>
  <si>
    <t>R076</t>
  </si>
  <si>
    <t>R079</t>
  </si>
  <si>
    <t>R090</t>
  </si>
  <si>
    <t>R091</t>
  </si>
  <si>
    <t>R092</t>
  </si>
  <si>
    <t>R093</t>
  </si>
  <si>
    <t>R094</t>
  </si>
  <si>
    <t>R095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</si>
  <si>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</si>
  <si>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</si>
  <si>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</si>
  <si>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</si>
  <si>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</si>
  <si>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</si>
  <si>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</si>
  <si>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</si>
  <si>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</si>
  <si>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R123</t>
  </si>
  <si>
    <t>S001</t>
  </si>
  <si>
    <t>S003</t>
  </si>
  <si>
    <t>Colonias limpias</t>
  </si>
  <si>
    <t>Vigilancia San Francisco limpio (tiradero municipal)</t>
  </si>
  <si>
    <t>Mi vivero</t>
  </si>
  <si>
    <t>Planto mi futuro</t>
  </si>
  <si>
    <t>Modernización de la infraestructura y servicio de panteones</t>
  </si>
  <si>
    <t>Proyecto Integral de Alumbrado Público, Ecológico de Eficiencia</t>
  </si>
  <si>
    <t>Aniversario del Municipio</t>
  </si>
  <si>
    <t>Radio joven</t>
  </si>
  <si>
    <t>Liga IMJU</t>
  </si>
  <si>
    <t>Territorio Joven San Francisco</t>
  </si>
  <si>
    <t>Taller musical de verano</t>
  </si>
  <si>
    <t>Taller de productos reciclados</t>
  </si>
  <si>
    <t>Concurso de tablas rítmicas</t>
  </si>
  <si>
    <t>Concurso musical IMJU</t>
  </si>
  <si>
    <t>Día de la Juventud</t>
  </si>
  <si>
    <t>Día del estudiante</t>
  </si>
  <si>
    <t>Evento Día de la Familia</t>
  </si>
  <si>
    <t>Programa DIF Turisteando</t>
  </si>
  <si>
    <t>Juegos deportivos y culturales</t>
  </si>
  <si>
    <t>Día del Abuelo</t>
  </si>
  <si>
    <t>Posada Navideña con Club Madurez Feliz</t>
  </si>
  <si>
    <t>Evento Clausura de Talleres</t>
  </si>
  <si>
    <t>Evento Curso de Verano</t>
  </si>
  <si>
    <t>Concurso rola tu rola</t>
  </si>
  <si>
    <t>Concurso expresarte contra el suicidio</t>
  </si>
  <si>
    <t>Aniversario el Puertecito de la Virgen</t>
  </si>
  <si>
    <t>Fiestas Patrias Puertecito de la Virgen</t>
  </si>
  <si>
    <t>20 de Noviembre Puertecito de la Virgen</t>
  </si>
  <si>
    <t>Día de los muertos Puertecito de la Virgen</t>
  </si>
  <si>
    <t>Aniversario de la Delegación La Escondida</t>
  </si>
  <si>
    <t>Fiestas Patrias Delegación La Escondida</t>
  </si>
  <si>
    <t>20 de Noviembre</t>
  </si>
  <si>
    <t>Fiestas Patrias</t>
  </si>
  <si>
    <t>Ligas municipales</t>
  </si>
  <si>
    <t>Torneos nacionales</t>
  </si>
  <si>
    <t>Escuelas e iniciación deportiva</t>
  </si>
  <si>
    <t>Villancicos y pastorelas</t>
  </si>
  <si>
    <t>Domingos culturales</t>
  </si>
  <si>
    <t>Encuentro de matlachines</t>
  </si>
  <si>
    <t>Fiestas patronales</t>
  </si>
  <si>
    <t>Calaveras</t>
  </si>
  <si>
    <t>Desfiles cívicos</t>
  </si>
  <si>
    <t>Honores a la bandera</t>
  </si>
  <si>
    <t>Festival de las carnitas</t>
  </si>
  <si>
    <t>Evento día del servidor público</t>
  </si>
  <si>
    <t>Evento posada</t>
  </si>
  <si>
    <t>Evento día del maestro</t>
  </si>
  <si>
    <t>Feria de San Francisco de Asís</t>
  </si>
  <si>
    <t>Ballet Folklórico Municipal</t>
  </si>
  <si>
    <t>Pensiones y Jubilaciones</t>
  </si>
  <si>
    <t>Programa de Infraestructura 2018</t>
  </si>
  <si>
    <t>Proyectos de inversión pública Rescate de Espacios Públicos</t>
  </si>
  <si>
    <t>Construcción y equipamiento de Centro de Desarrollo Comunitario Colonia 28 de Abril</t>
  </si>
  <si>
    <t>Proyectos de inversión pública PRODERE</t>
  </si>
  <si>
    <t>Construcción de banqueta acceso sur Presidencia Municipal</t>
  </si>
  <si>
    <t>Construcción de bodega en Comandancia de la Dirección de Seguridad Pública y Tránsito</t>
  </si>
  <si>
    <t>Techado en áreas de impartición de educación física</t>
  </si>
  <si>
    <t>Obligaciones de cumplimiento de resolución jurisdiccional</t>
  </si>
  <si>
    <t>Atención y Ayuda Juvenil</t>
  </si>
  <si>
    <t>Prevencion de embarazo</t>
  </si>
  <si>
    <t>Prevención de adicciones</t>
  </si>
  <si>
    <t>Institucionalización</t>
  </si>
  <si>
    <t>Transversalización</t>
  </si>
  <si>
    <t>8 de marzo Día Internacional de la Mujer</t>
  </si>
  <si>
    <t>19 de  Octubre "Día internacional de la lucha contra el cáncer de mama"</t>
  </si>
  <si>
    <t>25 de noviembre "Día de la erradicación de la violencia contra las Mujeres"</t>
  </si>
  <si>
    <t>Programa Comedor Comunitario</t>
  </si>
  <si>
    <t>Programa Tocando Corazones</t>
  </si>
  <si>
    <t>Programa Salud, Familia y Amor</t>
  </si>
  <si>
    <t>Apoyo alimentario a mujeres jefas de familia</t>
  </si>
  <si>
    <t>Día Mundial de la Alimentación</t>
  </si>
  <si>
    <t>Programa de Rehabilitación Física</t>
  </si>
  <si>
    <t>Programa Envejeciendo Positivo</t>
  </si>
  <si>
    <t>Aniversario del Club Madurez Feliz</t>
  </si>
  <si>
    <t>Programa de Habilidades, Capacitación y Desarrollo Integral</t>
  </si>
  <si>
    <t>Evento reconocimiento a empresarios</t>
  </si>
  <si>
    <t>Programa Trasladando amor</t>
  </si>
  <si>
    <t>Programa Contigo la Inclusión</t>
  </si>
  <si>
    <t>Incendios</t>
  </si>
  <si>
    <t>Semana santa</t>
  </si>
  <si>
    <t>Masivos y emergencias</t>
  </si>
  <si>
    <t>Desarrollo agropecuario para jóvenes</t>
  </si>
  <si>
    <t>Becas de capacitación</t>
  </si>
  <si>
    <t>Ferias de empleo</t>
  </si>
  <si>
    <t>Proyectos TIC'S</t>
  </si>
  <si>
    <t>Emprendedores</t>
  </si>
  <si>
    <t>Elaboración de Instrumento de Planeación Municipal (Programa Municipal de Desarrollo Urbano 2018 - 2035)</t>
  </si>
  <si>
    <t>Inspección y control de la contaminación</t>
  </si>
  <si>
    <t>Aprovechamiento del agua pluvial</t>
  </si>
  <si>
    <t>Mi mascota, mi familia</t>
  </si>
  <si>
    <t>Día mundial del medio ambiente</t>
  </si>
  <si>
    <t>Legislación</t>
  </si>
  <si>
    <t>Seguridad Pública</t>
  </si>
  <si>
    <t>Material para clubes</t>
  </si>
  <si>
    <t>Brigada Rural CONAFOR</t>
  </si>
  <si>
    <t>Profesionalización de las Instituciones de Seguridad Pública</t>
  </si>
  <si>
    <t>Prevención social de la violencia y la delincuencia por participación ciudadana</t>
  </si>
  <si>
    <t>Fortalecimiento de programas prioritarios locales de las Instituciones de Seguridad Pública e impartición de justicia (personal)</t>
  </si>
  <si>
    <t>Red nacional de radiocomunicación</t>
  </si>
  <si>
    <t>Equipamiento de personal policial del sistema de justicia penal</t>
  </si>
  <si>
    <t>Desarrollo Institucional</t>
  </si>
  <si>
    <t>Gastos Indirectos</t>
  </si>
  <si>
    <t>Ayudas y subsidios</t>
  </si>
  <si>
    <t>Rezago social</t>
  </si>
  <si>
    <t>Programa de suficiencia alimentaria</t>
  </si>
  <si>
    <t>Becas para hijos de migrantes 3X1</t>
  </si>
  <si>
    <t>Estímulos a la educación básica</t>
  </si>
  <si>
    <t>Calentadores solares</t>
  </si>
  <si>
    <t>Vviienda, cuarto domitorio, cocina y baño</t>
  </si>
  <si>
    <t>Aportaciones a la seguridad social</t>
  </si>
  <si>
    <t>Reunión de Contralores Estado Municipios</t>
  </si>
  <si>
    <t>Operación Administrativa</t>
  </si>
  <si>
    <t>E001</t>
  </si>
  <si>
    <t>E002</t>
  </si>
  <si>
    <t>E005</t>
  </si>
  <si>
    <t>E009</t>
  </si>
  <si>
    <t>E010</t>
  </si>
  <si>
    <t>E011</t>
  </si>
  <si>
    <t>K009</t>
  </si>
  <si>
    <t>Proyectos de Inversión, Fondo Resarcitorio, Remanente del Ejercicio 2017</t>
  </si>
  <si>
    <t>K010</t>
  </si>
  <si>
    <t>Programa de bacheo en todo el Municipio</t>
  </si>
  <si>
    <t>K011</t>
  </si>
  <si>
    <t>Programa de guarniciones, banquetas y camellones</t>
  </si>
  <si>
    <t>K012</t>
  </si>
  <si>
    <t>Programa de pintura en vialidades y edificios públicos</t>
  </si>
  <si>
    <t>K013</t>
  </si>
  <si>
    <t>Construcción de plataforma para la construcción de la Escuela Primaria en el Fracc. Rancho Santa Fé (Urbi Villas del Vergel)</t>
  </si>
  <si>
    <t>Programa de colocación de malla ciclónica campo de béisbol en Borrotes</t>
  </si>
  <si>
    <t>K014</t>
  </si>
  <si>
    <t>K015</t>
  </si>
  <si>
    <t>Programa de equipamiento hidráulico y sanitario en bienes propios del Municipio</t>
  </si>
  <si>
    <t>K016</t>
  </si>
  <si>
    <t>Construcción de conector sanitario en la cale Vicente Guerrero, obra civil para el sistema de rebombeo en la planta de tratamiento de ExViñedos Guadalupe y reposición de pavimentos  banquetas en varias calles de la comunidad de la Guayana</t>
  </si>
  <si>
    <t>M001</t>
  </si>
  <si>
    <t>O001</t>
  </si>
  <si>
    <t>O002</t>
  </si>
  <si>
    <t>O003</t>
  </si>
  <si>
    <t>O004</t>
  </si>
  <si>
    <t>O005</t>
  </si>
  <si>
    <t>O007</t>
  </si>
  <si>
    <t>Supervisión de Obras, Remanente del Ejercicio 2017</t>
  </si>
  <si>
    <t>R001</t>
  </si>
  <si>
    <t>R002</t>
  </si>
  <si>
    <t>R003</t>
  </si>
  <si>
    <t>R004</t>
  </si>
  <si>
    <t>R005</t>
  </si>
  <si>
    <t>R009</t>
  </si>
  <si>
    <t>R015</t>
  </si>
  <si>
    <t>R016</t>
  </si>
  <si>
    <t>R017</t>
  </si>
  <si>
    <t>R021</t>
  </si>
  <si>
    <t>R022</t>
  </si>
  <si>
    <t>R025</t>
  </si>
  <si>
    <t>R027</t>
  </si>
  <si>
    <t>R028</t>
  </si>
  <si>
    <t>R031</t>
  </si>
  <si>
    <t>R032</t>
  </si>
  <si>
    <t>R037</t>
  </si>
  <si>
    <t>R038</t>
  </si>
  <si>
    <t>R039</t>
  </si>
  <si>
    <t>R042</t>
  </si>
  <si>
    <t>R043</t>
  </si>
  <si>
    <t>R044</t>
  </si>
  <si>
    <t>R046</t>
  </si>
  <si>
    <t>R047</t>
  </si>
  <si>
    <t>R048</t>
  </si>
  <si>
    <t>R049</t>
  </si>
  <si>
    <t>R050</t>
  </si>
  <si>
    <t>R054</t>
  </si>
  <si>
    <t>R055</t>
  </si>
  <si>
    <t>R056</t>
  </si>
  <si>
    <t>R057</t>
  </si>
  <si>
    <t>R058</t>
  </si>
  <si>
    <t>R059</t>
  </si>
  <si>
    <t>R060</t>
  </si>
  <si>
    <t>R061</t>
  </si>
  <si>
    <t>R062</t>
  </si>
  <si>
    <t>R063</t>
  </si>
  <si>
    <t>R068</t>
  </si>
  <si>
    <t>R069</t>
  </si>
  <si>
    <t>R071</t>
  </si>
  <si>
    <t>R072</t>
  </si>
  <si>
    <t>R077</t>
  </si>
  <si>
    <t>R078</t>
  </si>
  <si>
    <t>R080</t>
  </si>
  <si>
    <t>R082</t>
  </si>
  <si>
    <t>R084</t>
  </si>
  <si>
    <t>R085</t>
  </si>
  <si>
    <t>R086</t>
  </si>
  <si>
    <t>R087</t>
  </si>
  <si>
    <t>R088</t>
  </si>
  <si>
    <t>R089</t>
  </si>
  <si>
    <t>R096</t>
  </si>
  <si>
    <t>R097</t>
  </si>
  <si>
    <t>R098</t>
  </si>
  <si>
    <t>R099</t>
  </si>
  <si>
    <t>R100</t>
  </si>
  <si>
    <t>R101</t>
  </si>
  <si>
    <t>R102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</si>
  <si>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</si>
  <si>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</si>
  <si>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</si>
  <si>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</si>
  <si>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</si>
  <si>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</si>
  <si>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</si>
  <si>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</si>
  <si>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</si>
  <si>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</si>
  <si>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R124</t>
  </si>
  <si>
    <t>Seguridad e Higiene</t>
  </si>
  <si>
    <t>R125</t>
  </si>
  <si>
    <t>Coparticipación</t>
  </si>
  <si>
    <t>Clave</t>
  </si>
  <si>
    <t>Nombre</t>
  </si>
  <si>
    <t>real abril</t>
  </si>
  <si>
    <t>pres. abril</t>
  </si>
  <si>
    <t>real mayo</t>
  </si>
  <si>
    <t>pres. mayo</t>
  </si>
  <si>
    <t>real junio</t>
  </si>
  <si>
    <t>pres.junio</t>
  </si>
  <si>
    <t>acum. Real</t>
  </si>
  <si>
    <t>acum. Pres.</t>
  </si>
  <si>
    <t>% trim.</t>
  </si>
  <si>
    <t>% anual</t>
  </si>
  <si>
    <t>OTROS NGRESOS  Y BENEFICIOS VARIOS</t>
  </si>
  <si>
    <t>PRODUCTOS</t>
  </si>
  <si>
    <t>PRODUCTOS NO COMPRENDIDOS EN LA LEY DE INGRESOS</t>
  </si>
  <si>
    <t>ACCESORIOS DE APROVECHAMIENTOS</t>
  </si>
  <si>
    <t>APROVECHAMIENTOS NO COMPRENDIDOS EN LA LEY DE INGRESOS</t>
  </si>
  <si>
    <t xml:space="preserve">DERECHOS POR EL USO, GOCE, APROVECHAMIENTO  O EXPLOTACION  O BIENES DE DOMINIO PUBLICO </t>
  </si>
  <si>
    <t>OTROS APROVECHAMIENTOS</t>
  </si>
  <si>
    <t>MULTAS</t>
  </si>
  <si>
    <t>TRANSFERENCIAS  INTERNAS ASIGNACIONES DEL SECTOR  PUBLICO</t>
  </si>
  <si>
    <t>OPERACIÓN ADMINISTRATIVA</t>
  </si>
  <si>
    <t>MODERNIZACION DE INFRAESTRUCTURA Y SERVICIO DE PANTEONES</t>
  </si>
  <si>
    <t>CONSTRUCCION DE GAVETAS PARA RENTA</t>
  </si>
  <si>
    <t>COLONIAS LIMPIAS</t>
  </si>
  <si>
    <t>VIGILANCIA SAN FRANCISCO LIMPIO</t>
  </si>
  <si>
    <t>INSPECCION Y CONTROL DE LA CONTAMINACION</t>
  </si>
  <si>
    <t>E013</t>
  </si>
  <si>
    <t>MI MASCOTA, MI FAMILIA</t>
  </si>
  <si>
    <t>E014</t>
  </si>
  <si>
    <t>DIA MUNDIAL DEL MEDIO AMBIENTE</t>
  </si>
  <si>
    <t>E015</t>
  </si>
  <si>
    <t>LIMPIEMOS NUESTRO MEXICO</t>
  </si>
  <si>
    <t>ANIVERSARIO DEL MUNICIPIO</t>
  </si>
  <si>
    <t>BALLET FOLCLORICO MUNICIPAL</t>
  </si>
  <si>
    <t>DIA DE REYES</t>
  </si>
  <si>
    <t>DIA DE LA FAMILIA</t>
  </si>
  <si>
    <t>JUEGOS DEPORTIVOS Y CULTURALES</t>
  </si>
  <si>
    <t>DIA DEL ABUELO</t>
  </si>
  <si>
    <t>ANIVERSARIO DEL CLUB MADUREZ FELIZ</t>
  </si>
  <si>
    <t>ANIVERSARIO PUERTECITO DE LA VIRGEN</t>
  </si>
  <si>
    <t>20  DE NOVIEMBRE PUERTECITO DE LA VIRGEN</t>
  </si>
  <si>
    <t>F010</t>
  </si>
  <si>
    <t>20 DE NOVIEMBRE LA ESCONDIDA</t>
  </si>
  <si>
    <t>FIESTAS PATRIAS</t>
  </si>
  <si>
    <t>ESCUELAS E INICIACION DEPORTIVA</t>
  </si>
  <si>
    <t>LIGAS MUNICIPALES</t>
  </si>
  <si>
    <t>TORNEOS NACIONALES</t>
  </si>
  <si>
    <t>FESTIVAL DE LAS CARNITAS</t>
  </si>
  <si>
    <t>FESTIVAL DE CALAVERAS</t>
  </si>
  <si>
    <t>FIESTAS PATRONALES</t>
  </si>
  <si>
    <t>PROYECTOS DE INVERSION PUBLICA FONDO RESARCITORIO 2019</t>
  </si>
  <si>
    <t>PROYECTOS DE INVERSION PUBLICA PROGRAMAS REGIONALES 2019</t>
  </si>
  <si>
    <t>OBLIGACIONES DE CUMPLIMIENTO DE RESOLUCION JURISDICCIONAL</t>
  </si>
  <si>
    <t xml:space="preserve">INFORME    </t>
  </si>
  <si>
    <t>19 DE OCTUBRE DIS INTERNACIONAL DE LA LUCHA</t>
  </si>
  <si>
    <t>25 DE NOVIEMBRE DIA DE LA ERRADICACION DE LA</t>
  </si>
  <si>
    <t>TRANSVERSALIZACION</t>
  </si>
  <si>
    <t>8 DE MARZO DIA INTERNACIONAL DE LA MUJER</t>
  </si>
  <si>
    <t>INSTITUCIONALIZACION</t>
  </si>
  <si>
    <t>PREMIO MUNICIPAL DE LA JUVENTUD</t>
  </si>
  <si>
    <t>FESTEJANDO A LA JUVENTUD</t>
  </si>
  <si>
    <t>ORIENTACION JOVEN</t>
  </si>
  <si>
    <t>EMPRENDEDOR</t>
  </si>
  <si>
    <t>PROGRAMA COMEDOR COMUNITARIO</t>
  </si>
  <si>
    <t>R081</t>
  </si>
  <si>
    <t>PROGRAMA DE REHABILITACION FISICA</t>
  </si>
  <si>
    <t>EVENTO CLAUSURA DE TALLERES</t>
  </si>
  <si>
    <t>R083</t>
  </si>
  <si>
    <t>EVENTO CURSOS DE VERANO</t>
  </si>
  <si>
    <t>PROGRAMA DE HABILIDADES, CAPACITACION Y DESARROLLO</t>
  </si>
  <si>
    <t>DIA DEL SERVIDOR PUBLICO</t>
  </si>
  <si>
    <t>EVENTO DIA DEL MAESTRO</t>
  </si>
  <si>
    <t>EVENTO POSADA</t>
  </si>
  <si>
    <t>SEGURIDAD E HIIGIENE</t>
  </si>
  <si>
    <t>EMPRENDEDOR AGROPECUARIO</t>
  </si>
  <si>
    <t>REZAGO SOCIAL</t>
  </si>
  <si>
    <t>PARTICIPACION SOCIAL 2019</t>
  </si>
  <si>
    <t>BECAS DE CAPACITACION</t>
  </si>
  <si>
    <t>FERIAS DE EMPLEO</t>
  </si>
  <si>
    <t>SUPERVISION EXTERNA A FRACCIONAMIENTOS</t>
  </si>
  <si>
    <t>ELABORACION DE INSTRUMENTOS DE PLANEACION URBANA</t>
  </si>
  <si>
    <t>SEGURIDAD PUBLICA</t>
  </si>
  <si>
    <t>FORTASEG</t>
  </si>
  <si>
    <t>FORTALECIMIENTO MUNICIPAL</t>
  </si>
  <si>
    <t>COPARTICIPACION</t>
  </si>
  <si>
    <t>PROGRAMA ESTIMULOS A LA EDUCACION BASICA</t>
  </si>
  <si>
    <t>ARREGLOS FUNERARIOS</t>
  </si>
  <si>
    <t>APOYOS Y SUBSIDIOS</t>
  </si>
  <si>
    <t>PROGRAMAS MIGRANTES 3X1</t>
  </si>
  <si>
    <t>APORTACIONES A LA SEGURIDAD SOCIAL</t>
  </si>
  <si>
    <t>ANIVERSARIO DELEGACOIN LA ESCONDIDA</t>
  </si>
  <si>
    <t>VEHICULOS Y EQUIPO DE TRANSPORTE</t>
  </si>
  <si>
    <t>MAQUINARIA, OTROS EQUIPOS Y HERRAMIENTAS</t>
  </si>
  <si>
    <t>OBRA PÚBLICA EN BIENES DE DOMINIO PROPIO</t>
  </si>
  <si>
    <t>E016</t>
  </si>
  <si>
    <t>COMPACTADOR Y CONTENEDORES</t>
  </si>
  <si>
    <t>E017</t>
  </si>
  <si>
    <t>PROYECTO INTEGRAL DE ALUMBRADO PÚBLICO</t>
  </si>
  <si>
    <t>E018</t>
  </si>
  <si>
    <t>MI VIVERO</t>
  </si>
  <si>
    <t>REHABILITACION DE UNIDAD DEPORTIVA MIGUEL HIDALGO</t>
  </si>
  <si>
    <t>REHABILITACION DE PARQUE URBANO 1a. ETAPA CONSTRUCCION</t>
  </si>
  <si>
    <t xml:space="preserve">REMODELACION DEL CENTRO DE SALUD MENTAL </t>
  </si>
  <si>
    <t>BANQUETAS EN LA CALLE 21 DE MARZO, COLONIA 28 DE ABRIL</t>
  </si>
  <si>
    <t>PASTO SINTETICO UNIDAD DEPORTIVA MIGUEL HIDALGO</t>
  </si>
  <si>
    <t>REHABILITACION DE ESPACIOS PUBLICOS</t>
  </si>
  <si>
    <t>MEJORAMIENTO DE SISTEMA DE ALUMBRADO PUBLICO</t>
  </si>
  <si>
    <t>TECHADO EN AREAS DE IMPARTICION DE EDUCACION FISICA</t>
  </si>
  <si>
    <t>CONSTRUCCION DE TECHUMBRE CANCHA DE BASQUETBOL</t>
  </si>
  <si>
    <t>REHABILITACION DE MALLA CICLONICA UNIDAD DEPORTIVA MIGUEL HIDALGO</t>
  </si>
  <si>
    <t>DESARROLLO INSTITUCIONAL</t>
  </si>
  <si>
    <t>R103</t>
  </si>
  <si>
    <t>GASTOS INDIRECTOS</t>
  </si>
  <si>
    <t xml:space="preserve">BECAS    </t>
  </si>
  <si>
    <t>MUJERES EMPRENDEDORAS</t>
  </si>
  <si>
    <t>SUFICIENCIA ALIMENTARIA</t>
  </si>
  <si>
    <t>S009</t>
  </si>
  <si>
    <t>S010</t>
  </si>
  <si>
    <t>S011</t>
  </si>
  <si>
    <t>S013</t>
  </si>
  <si>
    <t>S014</t>
  </si>
  <si>
    <t>TINACOS</t>
  </si>
  <si>
    <t>ZAPATOS</t>
  </si>
  <si>
    <t>CALENTADORES SOLARES</t>
  </si>
  <si>
    <t>VIVIENDA INFRAESTRUCTURA, CUARTO DORMITORIO</t>
  </si>
  <si>
    <t>ECHALE A TU CASA</t>
  </si>
  <si>
    <t>MOBILIARIO Y EQUIPO DE ADMINISTRACION</t>
  </si>
  <si>
    <t>E019</t>
  </si>
  <si>
    <t>LUMINARIAS</t>
  </si>
  <si>
    <t>FERIA DE SAN FRANCISCO DE ASIS 2019</t>
  </si>
  <si>
    <t>FERIA DE SAN FRANCISCO DE ASIS 2018</t>
  </si>
  <si>
    <t>K017</t>
  </si>
  <si>
    <t>PLAFON EN EL CENTRO DE SALUD MENTAL, COLONIA 28 DE ABRIL</t>
  </si>
  <si>
    <t>K018</t>
  </si>
  <si>
    <t>EXTENSION DE RED SECUNDARIA, LOS ARELLANO</t>
  </si>
  <si>
    <t>K019</t>
  </si>
  <si>
    <t>BACHEO, TODO EL MUNICIPIO</t>
  </si>
  <si>
    <t>K020</t>
  </si>
  <si>
    <t>INSTALACION ELECTRICA PARA CAMARAS DE VIDEOVIGILANCIA EN LA COMANDANCIA DEL FRACCIONAMIENTO LA RIBERA</t>
  </si>
  <si>
    <t>K021</t>
  </si>
  <si>
    <t>K022</t>
  </si>
  <si>
    <t>MANTENIMIENTO BANQUETAS, GUARNICIONES Y PAVIMENTOS</t>
  </si>
  <si>
    <t>K023</t>
  </si>
  <si>
    <t>PINTURA EN VIALIDADES, TODO EL MUNICIPIO</t>
  </si>
  <si>
    <t>K024</t>
  </si>
  <si>
    <t>TECHUMBRE EN PATIO DE D.I.F.</t>
  </si>
  <si>
    <t>K025</t>
  </si>
  <si>
    <t>REHABILITACION DE SALON DE USOS  MULTIPLES URBI VILLAS DEL VERGEL</t>
  </si>
  <si>
    <t>K026</t>
  </si>
  <si>
    <t>REHABILITACION DE JARDIN DE PUERTECITO DE LA VIRGEN</t>
  </si>
  <si>
    <t>K027</t>
  </si>
  <si>
    <t>REHABILITACION DE PARQUE EN MACARIO J. GOMEZ</t>
  </si>
  <si>
    <t>MUSEO DE SAN FRANCISCO</t>
  </si>
  <si>
    <t>MANTENIMIENTO BACHEO</t>
  </si>
  <si>
    <t>PROYECTO DE MOVILIDAD EN SAN FRANCISCO DE LOS ROMO</t>
  </si>
  <si>
    <t>S015</t>
  </si>
  <si>
    <t>ENTREGA DE UTILES ESCOLARES</t>
  </si>
  <si>
    <t>Julio-Septiembre 2019</t>
  </si>
  <si>
    <t>JULIO</t>
  </si>
  <si>
    <t>AGOSTO</t>
  </si>
  <si>
    <t>SEPTIEMBRE</t>
  </si>
  <si>
    <t>K029</t>
  </si>
  <si>
    <t>CAMINO DE ACCESO A LA COLONIA FRATERNIDAD</t>
  </si>
  <si>
    <t>K030</t>
  </si>
  <si>
    <t>TECHUMBRE DE D.I.F.</t>
  </si>
  <si>
    <t>K031</t>
  </si>
  <si>
    <t>TECHUMBRE DE C.A.M.</t>
  </si>
  <si>
    <t>K032</t>
  </si>
  <si>
    <t>MANTENIMIENTO DE AUDITORIO (PINTURA)</t>
  </si>
  <si>
    <t>K033</t>
  </si>
  <si>
    <t>REHABILITACION DE COLECTOR SANITARIO EN EL PANZAZO</t>
  </si>
  <si>
    <t>K034</t>
  </si>
  <si>
    <t>RELLENO DE SOCAVON EN EL PANZAZO</t>
  </si>
  <si>
    <t>K035</t>
  </si>
  <si>
    <t>TUBERIA PARA POZO DE VISITA EN EL PANZAZO</t>
  </si>
  <si>
    <t>K036</t>
  </si>
  <si>
    <t>PINTURA EN VIALIDAD AV. JUAREZ DESDE LIBRAMIENTO LUIS MOYA, HASTA CALLE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</si>
</sst>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ck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33" xfId="0" applyFont="1" applyBorder="1"/>
    <xf numFmtId="0" fontId="3" fillId="0" borderId="34" xfId="0" applyFont="1" applyBorder="1"/>
    <xf numFmtId="0" fontId="7" fillId="0" borderId="34" xfId="0" applyFont="1" applyBorder="1"/>
    <xf numFmtId="0" fontId="3" fillId="0" borderId="35" xfId="0" applyFont="1" applyBorder="1"/>
    <xf numFmtId="0" fontId="3" fillId="0" borderId="38" xfId="0" applyFont="1" applyBorder="1"/>
    <xf numFmtId="43" fontId="3" fillId="0" borderId="0" xfId="0" applyNumberFormat="1" applyFont="1"/>
    <xf numFmtId="43" fontId="3" fillId="0" borderId="0" xfId="1" applyFont="1"/>
    <xf numFmtId="44" fontId="2" fillId="0" borderId="9" xfId="2" applyFont="1" applyBorder="1"/>
    <xf numFmtId="44" fontId="2" fillId="0" borderId="19" xfId="2" applyFont="1" applyBorder="1"/>
    <xf numFmtId="44" fontId="2" fillId="0" borderId="21" xfId="2" applyFont="1" applyBorder="1"/>
    <xf numFmtId="43" fontId="2" fillId="0" borderId="36" xfId="0" applyNumberFormat="1" applyFont="1" applyBorder="1"/>
    <xf numFmtId="43" fontId="2" fillId="0" borderId="15" xfId="0" applyNumberFormat="1" applyFont="1" applyBorder="1"/>
    <xf numFmtId="0" fontId="2" fillId="0" borderId="20" xfId="0" applyFont="1" applyBorder="1"/>
    <xf numFmtId="0" fontId="2" fillId="0" borderId="0" xfId="0" applyFont="1"/>
    <xf numFmtId="44" fontId="2" fillId="0" borderId="25" xfId="2" applyFont="1" applyBorder="1"/>
    <xf numFmtId="44" fontId="2" fillId="0" borderId="38" xfId="2" applyFont="1" applyFill="1" applyBorder="1"/>
    <xf numFmtId="44" fontId="2" fillId="0" borderId="27" xfId="2" applyFont="1" applyBorder="1"/>
    <xf numFmtId="44" fontId="2" fillId="0" borderId="0" xfId="2" applyFont="1"/>
    <xf numFmtId="44" fontId="2" fillId="0" borderId="28" xfId="2" applyFont="1" applyBorder="1"/>
    <xf numFmtId="44" fontId="2" fillId="0" borderId="18" xfId="2" applyFont="1" applyBorder="1"/>
    <xf numFmtId="44" fontId="2" fillId="0" borderId="31" xfId="2" applyFont="1" applyBorder="1"/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10" fontId="2" fillId="0" borderId="30" xfId="0" applyNumberFormat="1" applyFont="1" applyBorder="1"/>
    <xf numFmtId="10" fontId="2" fillId="0" borderId="32" xfId="0" applyNumberFormat="1" applyFont="1" applyBorder="1"/>
    <xf numFmtId="44" fontId="9" fillId="0" borderId="9" xfId="2" applyFont="1" applyBorder="1"/>
    <xf numFmtId="44" fontId="9" fillId="0" borderId="25" xfId="2" applyFont="1" applyBorder="1"/>
    <xf numFmtId="43" fontId="9" fillId="0" borderId="36" xfId="0" applyNumberFormat="1" applyFont="1" applyBorder="1"/>
    <xf numFmtId="43" fontId="9" fillId="0" borderId="15" xfId="0" applyNumberFormat="1" applyFont="1" applyBorder="1"/>
    <xf numFmtId="44" fontId="9" fillId="0" borderId="35" xfId="2" applyFont="1" applyBorder="1"/>
    <xf numFmtId="44" fontId="9" fillId="0" borderId="26" xfId="2" applyFont="1" applyBorder="1"/>
    <xf numFmtId="44" fontId="9" fillId="0" borderId="10" xfId="2" applyFont="1" applyBorder="1"/>
    <xf numFmtId="44" fontId="9" fillId="0" borderId="38" xfId="2" applyFont="1" applyBorder="1"/>
    <xf numFmtId="0" fontId="9" fillId="0" borderId="0" xfId="0" applyFont="1"/>
    <xf numFmtId="44" fontId="6" fillId="0" borderId="28" xfId="2" applyFont="1" applyBorder="1"/>
    <xf numFmtId="44" fontId="6" fillId="0" borderId="29" xfId="2" applyFont="1" applyBorder="1"/>
    <xf numFmtId="49" fontId="3" fillId="0" borderId="0" xfId="0" applyNumberFormat="1" applyFont="1" applyBorder="1" applyAlignment="1">
      <alignment horizontal="left"/>
    </xf>
    <xf numFmtId="44" fontId="2" fillId="0" borderId="0" xfId="2" applyFont="1" applyBorder="1"/>
    <xf numFmtId="43" fontId="2" fillId="0" borderId="0" xfId="0" applyNumberFormat="1" applyFont="1" applyBorder="1"/>
    <xf numFmtId="0" fontId="0" fillId="0" borderId="0" xfId="0" applyBorder="1"/>
    <xf numFmtId="44" fontId="2" fillId="0" borderId="0" xfId="0" applyNumberFormat="1" applyFont="1" applyBorder="1"/>
    <xf numFmtId="10" fontId="2" fillId="0" borderId="0" xfId="0" applyNumberFormat="1" applyFont="1" applyBorder="1"/>
    <xf numFmtId="44" fontId="3" fillId="0" borderId="0" xfId="0" applyNumberFormat="1" applyFont="1"/>
    <xf numFmtId="44" fontId="9" fillId="0" borderId="0" xfId="2" applyFont="1"/>
    <xf numFmtId="43" fontId="9" fillId="0" borderId="36" xfId="0" applyNumberFormat="1" applyFont="1" applyBorder="1" applyAlignment="1"/>
    <xf numFmtId="2" fontId="2" fillId="0" borderId="30" xfId="0" applyNumberFormat="1" applyFont="1" applyBorder="1"/>
    <xf numFmtId="0" fontId="3" fillId="0" borderId="10" xfId="0" applyFont="1" applyFill="1" applyBorder="1"/>
    <xf numFmtId="44" fontId="2" fillId="0" borderId="10" xfId="2" applyFont="1" applyFill="1" applyBorder="1"/>
    <xf numFmtId="44" fontId="2" fillId="0" borderId="39" xfId="2" applyFont="1" applyFill="1" applyBorder="1"/>
    <xf numFmtId="43" fontId="2" fillId="0" borderId="36" xfId="0" applyNumberFormat="1" applyFont="1" applyFill="1" applyBorder="1"/>
    <xf numFmtId="164" fontId="6" fillId="0" borderId="29" xfId="2" applyNumberFormat="1" applyFont="1" applyBorder="1"/>
    <xf numFmtId="44" fontId="2" fillId="0" borderId="40" xfId="2" applyFont="1" applyBorder="1"/>
    <xf numFmtId="44" fontId="2" fillId="0" borderId="42" xfId="2" applyFont="1" applyBorder="1"/>
    <xf numFmtId="44" fontId="2" fillId="0" borderId="41" xfId="2" applyFont="1" applyBorder="1"/>
    <xf numFmtId="44" fontId="3" fillId="0" borderId="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4" fontId="6" fillId="0" borderId="0" xfId="2" applyFont="1" applyBorder="1"/>
    <xf numFmtId="164" fontId="6" fillId="0" borderId="0" xfId="2" applyNumberFormat="1" applyFont="1" applyBorder="1"/>
    <xf numFmtId="44" fontId="2" fillId="0" borderId="43" xfId="2" applyFont="1" applyBorder="1"/>
    <xf numFmtId="49" fontId="3" fillId="0" borderId="37" xfId="0" applyNumberFormat="1" applyFont="1" applyFill="1" applyBorder="1" applyAlignment="1">
      <alignment horizontal="left"/>
    </xf>
    <xf numFmtId="0" fontId="3" fillId="0" borderId="38" xfId="0" applyFont="1" applyFill="1" applyBorder="1"/>
    <xf numFmtId="44" fontId="2" fillId="0" borderId="35" xfId="2" applyFont="1" applyFill="1" applyBorder="1"/>
    <xf numFmtId="44" fontId="2" fillId="0" borderId="38" xfId="2" applyNumberFormat="1" applyFont="1" applyFill="1" applyBorder="1"/>
    <xf numFmtId="43" fontId="2" fillId="0" borderId="17" xfId="0" applyNumberFormat="1" applyFont="1" applyFill="1" applyBorder="1"/>
    <xf numFmtId="0" fontId="3" fillId="0" borderId="0" xfId="0" applyFont="1" applyFill="1"/>
    <xf numFmtId="43" fontId="0" fillId="0" borderId="0" xfId="1" applyFont="1"/>
    <xf numFmtId="43" fontId="0" fillId="3" borderId="33" xfId="1" applyFont="1" applyFill="1" applyBorder="1"/>
    <xf numFmtId="43" fontId="0" fillId="3" borderId="0" xfId="1" applyFont="1" applyFill="1"/>
    <xf numFmtId="0" fontId="4" fillId="4" borderId="1" xfId="0" applyFont="1" applyFill="1" applyBorder="1" applyAlignment="1">
      <alignment horizontal="center" vertical="center" wrapText="1"/>
    </xf>
    <xf numFmtId="44" fontId="10" fillId="0" borderId="28" xfId="2" applyFont="1" applyFill="1" applyBorder="1"/>
    <xf numFmtId="44" fontId="2" fillId="0" borderId="9" xfId="2" applyFont="1" applyFill="1" applyBorder="1"/>
    <xf numFmtId="0" fontId="3" fillId="0" borderId="9" xfId="0" applyFont="1" applyFill="1" applyBorder="1"/>
    <xf numFmtId="49" fontId="3" fillId="0" borderId="18" xfId="0" applyNumberFormat="1" applyFont="1" applyFill="1" applyBorder="1" applyAlignment="1">
      <alignment horizontal="left"/>
    </xf>
    <xf numFmtId="0" fontId="3" fillId="0" borderId="19" xfId="0" applyFont="1" applyFill="1" applyBorder="1"/>
    <xf numFmtId="44" fontId="2" fillId="0" borderId="19" xfId="2" applyFont="1" applyFill="1" applyBorder="1"/>
    <xf numFmtId="44" fontId="2" fillId="0" borderId="27" xfId="2" applyFont="1" applyFill="1" applyBorder="1"/>
    <xf numFmtId="43" fontId="2" fillId="0" borderId="20" xfId="0" applyNumberFormat="1" applyFont="1" applyFill="1" applyBorder="1"/>
    <xf numFmtId="44" fontId="2" fillId="0" borderId="19" xfId="2" applyNumberFormat="1" applyFont="1" applyFill="1" applyBorder="1"/>
    <xf numFmtId="44" fontId="9" fillId="0" borderId="38" xfId="2" applyFont="1" applyFill="1" applyBorder="1"/>
    <xf numFmtId="44" fontId="9" fillId="0" borderId="0" xfId="2" applyFont="1" applyFill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44" fontId="10" fillId="0" borderId="0" xfId="2" applyFont="1" applyFill="1" applyBorder="1"/>
    <xf numFmtId="0" fontId="2" fillId="0" borderId="44" xfId="0" applyFont="1" applyBorder="1"/>
    <xf numFmtId="2" fontId="2" fillId="0" borderId="32" xfId="0" applyNumberFormat="1" applyFont="1" applyBorder="1"/>
    <xf numFmtId="44" fontId="2" fillId="0" borderId="45" xfId="2" applyFont="1" applyFill="1" applyBorder="1"/>
    <xf numFmtId="44" fontId="2" fillId="0" borderId="46" xfId="2" applyFont="1" applyFill="1" applyBorder="1"/>
    <xf numFmtId="44" fontId="2" fillId="0" borderId="47" xfId="2" applyFont="1" applyFill="1" applyBorder="1"/>
    <xf numFmtId="44" fontId="2" fillId="0" borderId="48" xfId="2" applyFont="1" applyFill="1" applyBorder="1"/>
    <xf numFmtId="43" fontId="2" fillId="0" borderId="17" xfId="0" applyNumberFormat="1" applyFont="1" applyBorder="1"/>
    <xf numFmtId="43" fontId="2" fillId="0" borderId="49" xfId="0" applyNumberFormat="1" applyFont="1" applyFill="1" applyBorder="1"/>
    <xf numFmtId="49" fontId="3" fillId="0" borderId="16" xfId="0" applyNumberFormat="1" applyFon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4" fontId="2" fillId="0" borderId="0" xfId="2" applyFont="1" applyFill="1" applyBorder="1"/>
    <xf numFmtId="0" fontId="9" fillId="0" borderId="0" xfId="0" applyFont="1" applyFill="1"/>
    <xf numFmtId="0" fontId="3" fillId="0" borderId="5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2" xfId="0" applyFont="1" applyBorder="1"/>
    <xf numFmtId="0" fontId="3" fillId="0" borderId="52" xfId="0" applyFont="1" applyBorder="1"/>
    <xf numFmtId="44" fontId="9" fillId="0" borderId="42" xfId="2" applyFont="1" applyBorder="1"/>
    <xf numFmtId="44" fontId="9" fillId="0" borderId="52" xfId="2" applyFont="1" applyBorder="1"/>
    <xf numFmtId="44" fontId="9" fillId="0" borderId="53" xfId="2" applyFont="1" applyBorder="1"/>
    <xf numFmtId="44" fontId="9" fillId="0" borderId="54" xfId="2" applyFont="1" applyBorder="1"/>
    <xf numFmtId="44" fontId="9" fillId="0" borderId="45" xfId="2" applyFont="1" applyBorder="1"/>
    <xf numFmtId="43" fontId="9" fillId="0" borderId="56" xfId="0" applyNumberFormat="1" applyFont="1" applyBorder="1" applyAlignment="1"/>
    <xf numFmtId="43" fontId="9" fillId="0" borderId="55" xfId="0" applyNumberFormat="1" applyFont="1" applyBorder="1" applyAlignment="1"/>
    <xf numFmtId="44" fontId="2" fillId="0" borderId="52" xfId="2" applyFont="1" applyBorder="1"/>
    <xf numFmtId="44" fontId="2" fillId="0" borderId="47" xfId="2" applyFont="1" applyBorder="1"/>
    <xf numFmtId="44" fontId="2" fillId="0" borderId="57" xfId="2" applyFont="1" applyBorder="1"/>
    <xf numFmtId="44" fontId="9" fillId="0" borderId="19" xfId="2" applyFont="1" applyBorder="1"/>
    <xf numFmtId="44" fontId="2" fillId="0" borderId="58" xfId="2" applyFont="1" applyFill="1" applyBorder="1"/>
    <xf numFmtId="43" fontId="2" fillId="0" borderId="59" xfId="0" applyNumberFormat="1" applyFont="1" applyFill="1" applyBorder="1"/>
    <xf numFmtId="44" fontId="2" fillId="0" borderId="38" xfId="2" applyFont="1" applyBorder="1"/>
    <xf numFmtId="44" fontId="2" fillId="0" borderId="10" xfId="2" applyFont="1" applyBorder="1"/>
    <xf numFmtId="44" fontId="2" fillId="0" borderId="35" xfId="2" applyFont="1" applyBorder="1"/>
    <xf numFmtId="44" fontId="2" fillId="0" borderId="60" xfId="2" applyFont="1" applyFill="1" applyBorder="1"/>
    <xf numFmtId="44" fontId="2" fillId="0" borderId="61" xfId="2" applyFont="1" applyFill="1" applyBorder="1"/>
    <xf numFmtId="44" fontId="2" fillId="0" borderId="58" xfId="2" applyFont="1" applyBorder="1"/>
    <xf numFmtId="0" fontId="9" fillId="0" borderId="34" xfId="0" applyFont="1" applyBorder="1"/>
    <xf numFmtId="44" fontId="9" fillId="0" borderId="18" xfId="2" applyFont="1" applyBorder="1"/>
    <xf numFmtId="43" fontId="9" fillId="0" borderId="20" xfId="0" applyNumberFormat="1" applyFont="1" applyBorder="1"/>
    <xf numFmtId="43" fontId="11" fillId="0" borderId="0" xfId="1" applyFont="1"/>
    <xf numFmtId="44" fontId="0" fillId="0" borderId="0" xfId="2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0</xdr:rowOff>
    </xdr:from>
    <xdr:to>
      <xdr:col>2</xdr:col>
      <xdr:colOff>20955</xdr:colOff>
      <xdr:row>7</xdr:row>
      <xdr:rowOff>163830</xdr:rowOff>
    </xdr:to>
    <xdr:pic>
      <xdr:nvPicPr>
        <xdr:cNvPr id="6" name="5 Imagen" descr="C:\Users\45\Downloads\IMG_0826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4300"/>
          <a:ext cx="1154430" cy="1106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304800</xdr:colOff>
      <xdr:row>1</xdr:row>
      <xdr:rowOff>85725</xdr:rowOff>
    </xdr:from>
    <xdr:to>
      <xdr:col>14</xdr:col>
      <xdr:colOff>669924</xdr:colOff>
      <xdr:row>7</xdr:row>
      <xdr:rowOff>123824</xdr:rowOff>
    </xdr:to>
    <xdr:pic>
      <xdr:nvPicPr>
        <xdr:cNvPr id="7" name="6 Imagen" descr="C:\Users\45\Downloads\IMG_082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0" y="200025"/>
          <a:ext cx="1393824" cy="98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190500</xdr:colOff>
      <xdr:row>52</xdr:row>
      <xdr:rowOff>142875</xdr:rowOff>
    </xdr:from>
    <xdr:to>
      <xdr:col>14</xdr:col>
      <xdr:colOff>555624</xdr:colOff>
      <xdr:row>59</xdr:row>
      <xdr:rowOff>9522</xdr:rowOff>
    </xdr:to>
    <xdr:pic>
      <xdr:nvPicPr>
        <xdr:cNvPr id="8" name="7 Imagen" descr="C:\Users\45\Downloads\IMG_0827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1975" y="8572500"/>
          <a:ext cx="1393825" cy="98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704850</xdr:colOff>
      <xdr:row>53</xdr:row>
      <xdr:rowOff>86590</xdr:rowOff>
    </xdr:from>
    <xdr:to>
      <xdr:col>2</xdr:col>
      <xdr:colOff>20955</xdr:colOff>
      <xdr:row>58</xdr:row>
      <xdr:rowOff>125728</xdr:rowOff>
    </xdr:to>
    <xdr:pic>
      <xdr:nvPicPr>
        <xdr:cNvPr id="9" name="8 Imagen" descr="C:\Users\45\Downloads\IMG_0826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092295"/>
          <a:ext cx="1151832" cy="835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0"/>
  <sheetViews>
    <sheetView tabSelected="1" topLeftCell="A4" zoomScale="70" zoomScaleNormal="70" workbookViewId="0">
      <pane xSplit="3" ySplit="9" topLeftCell="D211" activePane="bottomRight" state="frozen"/>
      <selection activeCell="A4" sqref="A4"/>
      <selection pane="topRight" activeCell="D4" sqref="D4"/>
      <selection pane="bottomLeft" activeCell="A13" sqref="A13"/>
      <selection pane="bottomRight" activeCell="A222" sqref="A222:XFD222"/>
    </sheetView>
  </sheetViews>
  <sheetFormatPr baseColWidth="10" defaultColWidth="11.42578125" defaultRowHeight="9" x14ac:dyDescent="0.15"/>
  <cols>
    <col min="1" max="1" width="11.42578125" style="1"/>
    <col min="2" max="2" width="16.140625" style="1" customWidth="1"/>
    <col min="3" max="3" width="38" style="1" customWidth="1"/>
    <col min="4" max="4" width="21.5703125" style="1" bestFit="1" customWidth="1"/>
    <col min="5" max="5" width="15.42578125" style="1" bestFit="1" customWidth="1"/>
    <col min="6" max="6" width="15.5703125" style="1" bestFit="1" customWidth="1"/>
    <col min="7" max="7" width="15.140625" style="1" customWidth="1"/>
    <col min="8" max="8" width="18.140625" style="1" customWidth="1"/>
    <col min="9" max="10" width="15.42578125" style="1" bestFit="1" customWidth="1"/>
    <col min="11" max="11" width="15.5703125" style="1" bestFit="1" customWidth="1"/>
    <col min="12" max="12" width="15" style="1" bestFit="1" customWidth="1"/>
    <col min="13" max="14" width="15.42578125" style="1" bestFit="1" customWidth="1"/>
    <col min="15" max="15" width="12.85546875" style="1" bestFit="1" customWidth="1"/>
    <col min="16" max="16" width="15.42578125" style="1" bestFit="1" customWidth="1"/>
    <col min="17" max="17" width="16.85546875" style="1" bestFit="1" customWidth="1"/>
    <col min="18" max="18" width="15.42578125" style="1" bestFit="1" customWidth="1"/>
    <col min="19" max="19" width="14.42578125" style="1" bestFit="1" customWidth="1"/>
    <col min="20" max="16384" width="11.42578125" style="1"/>
  </cols>
  <sheetData>
    <row r="1" spans="2:20" x14ac:dyDescent="0.15">
      <c r="J1" s="1" t="s">
        <v>0</v>
      </c>
    </row>
    <row r="2" spans="2:20" ht="12.75" x14ac:dyDescent="0.2">
      <c r="B2" s="154" t="s">
        <v>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2:20" ht="12" x14ac:dyDescent="0.2">
      <c r="B3" s="17"/>
      <c r="C3" s="17" t="s">
        <v>2</v>
      </c>
    </row>
    <row r="4" spans="2:20" ht="12" x14ac:dyDescent="0.2">
      <c r="B4" s="17"/>
      <c r="G4" s="16" t="s">
        <v>3</v>
      </c>
    </row>
    <row r="5" spans="2:20" ht="12" x14ac:dyDescent="0.2">
      <c r="B5" s="17"/>
      <c r="G5" s="16" t="s">
        <v>4</v>
      </c>
    </row>
    <row r="6" spans="2:20" ht="12" x14ac:dyDescent="0.2">
      <c r="B6" s="17"/>
      <c r="G6" s="16" t="s">
        <v>5</v>
      </c>
      <c r="H6" s="18"/>
      <c r="I6" s="18"/>
      <c r="J6" s="18"/>
      <c r="K6" s="18"/>
    </row>
    <row r="7" spans="2:20" ht="13.5" customHeight="1" x14ac:dyDescent="0.2">
      <c r="B7" s="17"/>
      <c r="G7" s="16" t="s">
        <v>6</v>
      </c>
      <c r="H7" s="20" t="s">
        <v>7</v>
      </c>
      <c r="I7" s="19"/>
      <c r="J7" s="19"/>
      <c r="K7" s="19"/>
    </row>
    <row r="8" spans="2:20" ht="13.5" customHeight="1" x14ac:dyDescent="0.2">
      <c r="G8" s="16" t="s">
        <v>8</v>
      </c>
      <c r="H8" s="140" t="s">
        <v>633</v>
      </c>
      <c r="I8" s="19"/>
      <c r="J8" s="19"/>
      <c r="K8" s="19"/>
    </row>
    <row r="9" spans="2:20" ht="9.75" thickBot="1" x14ac:dyDescent="0.2"/>
    <row r="10" spans="2:20" ht="24" customHeight="1" thickTop="1" thickBot="1" x14ac:dyDescent="0.2">
      <c r="B10" s="145" t="s">
        <v>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</row>
    <row r="11" spans="2:20" ht="41.25" customHeight="1" thickTop="1" thickBot="1" x14ac:dyDescent="0.2">
      <c r="B11" s="148" t="s">
        <v>10</v>
      </c>
      <c r="C11" s="149"/>
      <c r="D11" s="4" t="s">
        <v>11</v>
      </c>
      <c r="E11" s="4" t="s">
        <v>634</v>
      </c>
      <c r="F11" s="4" t="s">
        <v>11</v>
      </c>
      <c r="G11" s="4" t="s">
        <v>635</v>
      </c>
      <c r="H11" s="4" t="s">
        <v>11</v>
      </c>
      <c r="I11" s="4" t="s">
        <v>636</v>
      </c>
      <c r="J11" s="150" t="s">
        <v>12</v>
      </c>
      <c r="K11" s="151"/>
      <c r="L11" s="11" t="s">
        <v>13</v>
      </c>
      <c r="M11" s="152" t="s">
        <v>14</v>
      </c>
      <c r="N11" s="153"/>
      <c r="O11" s="13" t="s">
        <v>13</v>
      </c>
    </row>
    <row r="12" spans="2:20" ht="57" customHeight="1" thickBot="1" x14ac:dyDescent="0.2">
      <c r="B12" s="7" t="s">
        <v>15</v>
      </c>
      <c r="C12" s="2" t="s">
        <v>16</v>
      </c>
      <c r="D12" s="73" t="s">
        <v>17</v>
      </c>
      <c r="E12" s="2" t="s">
        <v>18</v>
      </c>
      <c r="F12" s="73" t="s">
        <v>17</v>
      </c>
      <c r="G12" s="2" t="s">
        <v>18</v>
      </c>
      <c r="H12" s="73" t="s">
        <v>17</v>
      </c>
      <c r="I12" s="2" t="s">
        <v>18</v>
      </c>
      <c r="J12" s="73" t="s">
        <v>17</v>
      </c>
      <c r="K12" s="2" t="s">
        <v>18</v>
      </c>
      <c r="L12" s="12" t="s">
        <v>19</v>
      </c>
      <c r="M12" s="74" t="s">
        <v>17</v>
      </c>
      <c r="N12" s="2" t="s">
        <v>18</v>
      </c>
      <c r="O12" s="8" t="s">
        <v>23</v>
      </c>
      <c r="P12" s="3"/>
      <c r="Q12" s="3"/>
      <c r="R12" s="3"/>
      <c r="S12" s="3"/>
      <c r="T12" s="3"/>
    </row>
    <row r="13" spans="2:20" ht="20.100000000000001" customHeight="1" x14ac:dyDescent="0.2">
      <c r="B13" s="100" t="s">
        <v>124</v>
      </c>
      <c r="C13" s="5" t="s">
        <v>134</v>
      </c>
      <c r="D13" s="43">
        <v>660</v>
      </c>
      <c r="E13" s="47">
        <f t="shared" ref="E13:E33" si="0">N13/12</f>
        <v>4166.666666666667</v>
      </c>
      <c r="F13" s="43">
        <v>1260</v>
      </c>
      <c r="G13" s="47">
        <f>+E13</f>
        <v>4166.666666666667</v>
      </c>
      <c r="H13" s="43">
        <v>0</v>
      </c>
      <c r="I13" s="47">
        <f>50000/12</f>
        <v>4166.666666666667</v>
      </c>
      <c r="J13" s="44">
        <f t="shared" ref="J13:J33" si="1">D13+F13+H13</f>
        <v>1920</v>
      </c>
      <c r="K13" s="43">
        <f t="shared" ref="K13:K33" si="2">(+E13+G13+I13)</f>
        <v>12500</v>
      </c>
      <c r="L13" s="62">
        <f>+J13/K13*100</f>
        <v>15.36</v>
      </c>
      <c r="M13" s="44">
        <f>9546+J13</f>
        <v>11466</v>
      </c>
      <c r="N13" s="43">
        <v>50000</v>
      </c>
      <c r="O13" s="46">
        <f>M13/N13*100</f>
        <v>22.931999999999999</v>
      </c>
      <c r="Q13" s="61"/>
      <c r="R13" s="61"/>
      <c r="S13" s="51"/>
    </row>
    <row r="14" spans="2:20" ht="20.100000000000001" customHeight="1" x14ac:dyDescent="0.2">
      <c r="B14" s="101" t="s">
        <v>125</v>
      </c>
      <c r="C14" s="21" t="s">
        <v>135</v>
      </c>
      <c r="D14" s="47">
        <v>108317.4</v>
      </c>
      <c r="E14" s="47">
        <f t="shared" si="0"/>
        <v>1110000</v>
      </c>
      <c r="F14" s="47">
        <v>53906.89</v>
      </c>
      <c r="G14" s="47">
        <f t="shared" ref="G14:G33" si="3">+E14</f>
        <v>1110000</v>
      </c>
      <c r="H14" s="47">
        <v>100566.63</v>
      </c>
      <c r="I14" s="47">
        <f>G14</f>
        <v>1110000</v>
      </c>
      <c r="J14" s="48">
        <f t="shared" si="1"/>
        <v>262790.92</v>
      </c>
      <c r="K14" s="49">
        <f t="shared" si="2"/>
        <v>3330000</v>
      </c>
      <c r="L14" s="62">
        <f t="shared" ref="L14:L31" si="4">+J14/K14*100</f>
        <v>7.8916192192192192</v>
      </c>
      <c r="M14" s="48">
        <f>11099939.96+J14</f>
        <v>11362730.880000001</v>
      </c>
      <c r="N14" s="49">
        <v>13320000</v>
      </c>
      <c r="O14" s="45">
        <f>M14/N14*100</f>
        <v>85.305787387387383</v>
      </c>
      <c r="Q14" s="61"/>
      <c r="R14" s="61"/>
      <c r="S14" s="51"/>
    </row>
    <row r="15" spans="2:20" ht="20.100000000000001" customHeight="1" x14ac:dyDescent="0.2">
      <c r="B15" s="101" t="s">
        <v>126</v>
      </c>
      <c r="C15" s="21" t="s">
        <v>136</v>
      </c>
      <c r="D15" s="47">
        <v>780181.88</v>
      </c>
      <c r="E15" s="47">
        <f t="shared" si="0"/>
        <v>641666.66666666663</v>
      </c>
      <c r="F15" s="47">
        <v>799703.07</v>
      </c>
      <c r="G15" s="47">
        <f t="shared" si="3"/>
        <v>641666.66666666663</v>
      </c>
      <c r="H15" s="47">
        <v>211686.75</v>
      </c>
      <c r="I15" s="47">
        <f>4000000/12</f>
        <v>333333.33333333331</v>
      </c>
      <c r="J15" s="48">
        <f t="shared" si="1"/>
        <v>1791571.7</v>
      </c>
      <c r="K15" s="49">
        <f t="shared" si="2"/>
        <v>1616666.6666666665</v>
      </c>
      <c r="L15" s="62">
        <f t="shared" si="4"/>
        <v>110.81886804123712</v>
      </c>
      <c r="M15" s="48">
        <f>5761791.82+J15</f>
        <v>7553363.5200000005</v>
      </c>
      <c r="N15" s="49">
        <v>7700000</v>
      </c>
      <c r="O15" s="45">
        <f t="shared" ref="O15:O32" si="5">M15/N15*100</f>
        <v>98.095630129870131</v>
      </c>
      <c r="Q15" s="61"/>
      <c r="R15" s="61"/>
      <c r="S15" s="51"/>
    </row>
    <row r="16" spans="2:20" ht="20.100000000000001" customHeight="1" x14ac:dyDescent="0.2">
      <c r="B16" s="101" t="s">
        <v>127</v>
      </c>
      <c r="C16" s="6" t="s">
        <v>137</v>
      </c>
      <c r="D16" s="49">
        <v>42994.81</v>
      </c>
      <c r="E16" s="47">
        <f t="shared" si="0"/>
        <v>56666.666666666664</v>
      </c>
      <c r="F16" s="49">
        <v>76300.649999999994</v>
      </c>
      <c r="G16" s="47">
        <f t="shared" si="3"/>
        <v>56666.666666666664</v>
      </c>
      <c r="H16" s="49">
        <v>42366.38</v>
      </c>
      <c r="I16" s="47">
        <f>430000/12</f>
        <v>35833.333333333336</v>
      </c>
      <c r="J16" s="48">
        <f t="shared" si="1"/>
        <v>161661.84</v>
      </c>
      <c r="K16" s="49">
        <f t="shared" si="2"/>
        <v>149166.66666666666</v>
      </c>
      <c r="L16" s="62">
        <f t="shared" si="4"/>
        <v>108.37665251396649</v>
      </c>
      <c r="M16" s="48">
        <f>415041.18+J16</f>
        <v>576703.02</v>
      </c>
      <c r="N16" s="49">
        <v>680000</v>
      </c>
      <c r="O16" s="45">
        <f t="shared" si="5"/>
        <v>84.809267647058832</v>
      </c>
      <c r="Q16" s="61"/>
      <c r="R16" s="61"/>
      <c r="S16" s="51"/>
    </row>
    <row r="17" spans="1:19" ht="20.100000000000001" customHeight="1" x14ac:dyDescent="0.2">
      <c r="B17" s="101">
        <v>4118</v>
      </c>
      <c r="C17" s="6" t="s">
        <v>138</v>
      </c>
      <c r="D17" s="49">
        <v>117334.41</v>
      </c>
      <c r="E17" s="47">
        <f t="shared" si="0"/>
        <v>162500</v>
      </c>
      <c r="F17" s="49">
        <v>74298.55</v>
      </c>
      <c r="G17" s="47">
        <f t="shared" si="3"/>
        <v>162500</v>
      </c>
      <c r="H17" s="49">
        <v>78259.39</v>
      </c>
      <c r="I17" s="47">
        <f>1300000/12</f>
        <v>108333.33333333333</v>
      </c>
      <c r="J17" s="48">
        <f t="shared" si="1"/>
        <v>269892.35000000003</v>
      </c>
      <c r="K17" s="49">
        <f t="shared" si="2"/>
        <v>433333.33333333331</v>
      </c>
      <c r="L17" s="62">
        <f t="shared" si="4"/>
        <v>62.28285000000001</v>
      </c>
      <c r="M17" s="48">
        <f>1558009.57+J17</f>
        <v>1827901.9200000002</v>
      </c>
      <c r="N17" s="49">
        <v>1950000</v>
      </c>
      <c r="O17" s="45">
        <f t="shared" si="5"/>
        <v>93.738560000000007</v>
      </c>
      <c r="Q17" s="61"/>
      <c r="R17" s="61"/>
      <c r="S17" s="51"/>
    </row>
    <row r="18" spans="1:19" ht="20.100000000000001" customHeight="1" x14ac:dyDescent="0.2">
      <c r="B18" s="101">
        <v>4131</v>
      </c>
      <c r="C18" s="6" t="s">
        <v>185</v>
      </c>
      <c r="D18" s="49">
        <v>0</v>
      </c>
      <c r="E18" s="47">
        <f t="shared" si="0"/>
        <v>1000</v>
      </c>
      <c r="F18" s="49">
        <v>0</v>
      </c>
      <c r="G18" s="47">
        <f t="shared" si="3"/>
        <v>1000</v>
      </c>
      <c r="H18" s="49">
        <v>0</v>
      </c>
      <c r="I18" s="47">
        <f>12000/12</f>
        <v>1000</v>
      </c>
      <c r="J18" s="48">
        <f t="shared" si="1"/>
        <v>0</v>
      </c>
      <c r="K18" s="49">
        <f t="shared" si="2"/>
        <v>3000</v>
      </c>
      <c r="L18" s="62">
        <f t="shared" si="4"/>
        <v>0</v>
      </c>
      <c r="M18" s="48">
        <f>0+J18</f>
        <v>0</v>
      </c>
      <c r="N18" s="49">
        <v>12000</v>
      </c>
      <c r="O18" s="45">
        <f t="shared" si="5"/>
        <v>0</v>
      </c>
      <c r="Q18" s="61"/>
      <c r="R18" s="61"/>
      <c r="S18" s="51"/>
    </row>
    <row r="19" spans="1:19" ht="20.100000000000001" customHeight="1" x14ac:dyDescent="0.2">
      <c r="B19" s="101">
        <v>4141</v>
      </c>
      <c r="C19" s="6" t="s">
        <v>492</v>
      </c>
      <c r="D19" s="49">
        <v>0</v>
      </c>
      <c r="E19" s="47">
        <f t="shared" si="0"/>
        <v>416.66666666666669</v>
      </c>
      <c r="F19" s="49">
        <v>0</v>
      </c>
      <c r="G19" s="47">
        <f t="shared" si="3"/>
        <v>416.66666666666669</v>
      </c>
      <c r="H19" s="49">
        <v>0</v>
      </c>
      <c r="I19" s="47">
        <f>5000/12</f>
        <v>416.66666666666669</v>
      </c>
      <c r="J19" s="48">
        <f t="shared" si="1"/>
        <v>0</v>
      </c>
      <c r="K19" s="49">
        <f t="shared" si="2"/>
        <v>1250</v>
      </c>
      <c r="L19" s="62">
        <f t="shared" si="4"/>
        <v>0</v>
      </c>
      <c r="M19" s="48">
        <f>0+J19</f>
        <v>0</v>
      </c>
      <c r="N19" s="49">
        <v>5000</v>
      </c>
      <c r="O19" s="45">
        <f t="shared" si="5"/>
        <v>0</v>
      </c>
      <c r="Q19" s="61"/>
      <c r="R19" s="61"/>
      <c r="S19" s="51"/>
    </row>
    <row r="20" spans="1:19" ht="20.100000000000001" customHeight="1" x14ac:dyDescent="0.2">
      <c r="B20" s="101" t="s">
        <v>128</v>
      </c>
      <c r="C20" s="6" t="s">
        <v>139</v>
      </c>
      <c r="D20" s="49">
        <v>1999164.86</v>
      </c>
      <c r="E20" s="47">
        <f t="shared" si="0"/>
        <v>2120400.2974999999</v>
      </c>
      <c r="F20" s="49">
        <v>3550698.86</v>
      </c>
      <c r="G20" s="47">
        <f t="shared" si="3"/>
        <v>2120400.2974999999</v>
      </c>
      <c r="H20" s="49">
        <v>4236494.47</v>
      </c>
      <c r="I20" s="47">
        <f t="shared" ref="I20:I33" si="6">G20</f>
        <v>2120400.2974999999</v>
      </c>
      <c r="J20" s="48">
        <f t="shared" si="1"/>
        <v>9786358.1899999995</v>
      </c>
      <c r="K20" s="49">
        <f t="shared" si="2"/>
        <v>6361200.8925000001</v>
      </c>
      <c r="L20" s="62">
        <f t="shared" si="4"/>
        <v>153.8445075919287</v>
      </c>
      <c r="M20" s="48">
        <f>17551669.27+J20</f>
        <v>27338027.460000001</v>
      </c>
      <c r="N20" s="49">
        <v>25444803.57</v>
      </c>
      <c r="O20" s="45">
        <f t="shared" si="5"/>
        <v>107.44051289211821</v>
      </c>
      <c r="Q20" s="61"/>
      <c r="R20" s="61"/>
      <c r="S20" s="51"/>
    </row>
    <row r="21" spans="1:19" ht="20.100000000000001" customHeight="1" x14ac:dyDescent="0.2">
      <c r="B21" s="101">
        <v>4145</v>
      </c>
      <c r="C21" s="6" t="s">
        <v>140</v>
      </c>
      <c r="D21" s="49">
        <v>8840.7000000000007</v>
      </c>
      <c r="E21" s="47">
        <f t="shared" si="0"/>
        <v>10500</v>
      </c>
      <c r="F21" s="49">
        <v>92500.42</v>
      </c>
      <c r="G21" s="47">
        <f t="shared" si="3"/>
        <v>10500</v>
      </c>
      <c r="H21" s="49">
        <v>5029.54</v>
      </c>
      <c r="I21" s="47">
        <f t="shared" si="6"/>
        <v>10500</v>
      </c>
      <c r="J21" s="48">
        <f t="shared" si="1"/>
        <v>106370.65999999999</v>
      </c>
      <c r="K21" s="49">
        <f t="shared" si="2"/>
        <v>31500</v>
      </c>
      <c r="L21" s="62">
        <f t="shared" si="4"/>
        <v>337.68463492063489</v>
      </c>
      <c r="M21" s="48">
        <f>13637.12+J21</f>
        <v>120007.77999999998</v>
      </c>
      <c r="N21" s="49">
        <v>126000</v>
      </c>
      <c r="O21" s="45">
        <f t="shared" si="5"/>
        <v>95.244269841269826</v>
      </c>
      <c r="Q21" s="61"/>
      <c r="R21" s="61"/>
      <c r="S21" s="51"/>
    </row>
    <row r="22" spans="1:19" ht="20.100000000000001" customHeight="1" x14ac:dyDescent="0.2">
      <c r="B22" s="101" t="s">
        <v>129</v>
      </c>
      <c r="C22" s="6" t="s">
        <v>488</v>
      </c>
      <c r="D22" s="49">
        <v>196361.35</v>
      </c>
      <c r="E22" s="47">
        <f t="shared" si="0"/>
        <v>98933.236666666679</v>
      </c>
      <c r="F22" s="49">
        <v>183759.07</v>
      </c>
      <c r="G22" s="47">
        <f t="shared" si="3"/>
        <v>98933.236666666679</v>
      </c>
      <c r="H22" s="49">
        <v>156875.37</v>
      </c>
      <c r="I22" s="47">
        <f t="shared" si="6"/>
        <v>98933.236666666679</v>
      </c>
      <c r="J22" s="48">
        <f t="shared" si="1"/>
        <v>536995.79</v>
      </c>
      <c r="K22" s="49">
        <f t="shared" si="2"/>
        <v>296799.71000000002</v>
      </c>
      <c r="L22" s="62">
        <f t="shared" si="4"/>
        <v>180.92867745726571</v>
      </c>
      <c r="M22" s="48">
        <f>737110.77+J22</f>
        <v>1274106.56</v>
      </c>
      <c r="N22" s="49">
        <v>1187198.8400000001</v>
      </c>
      <c r="O22" s="45">
        <f t="shared" si="5"/>
        <v>107.32040135753502</v>
      </c>
      <c r="Q22" s="61"/>
      <c r="R22" s="61"/>
      <c r="S22" s="51"/>
    </row>
    <row r="23" spans="1:19" ht="20.100000000000001" customHeight="1" x14ac:dyDescent="0.2">
      <c r="B23" s="101">
        <v>4154</v>
      </c>
      <c r="C23" s="6" t="s">
        <v>489</v>
      </c>
      <c r="D23" s="49">
        <v>0</v>
      </c>
      <c r="E23" s="47">
        <f t="shared" si="0"/>
        <v>833.33333333333337</v>
      </c>
      <c r="F23" s="49">
        <v>0</v>
      </c>
      <c r="G23" s="47">
        <f t="shared" si="3"/>
        <v>833.33333333333337</v>
      </c>
      <c r="H23" s="49">
        <v>0</v>
      </c>
      <c r="I23" s="47">
        <f t="shared" si="6"/>
        <v>833.33333333333337</v>
      </c>
      <c r="J23" s="48">
        <f t="shared" si="1"/>
        <v>0</v>
      </c>
      <c r="K23" s="49">
        <f t="shared" si="2"/>
        <v>2500</v>
      </c>
      <c r="L23" s="62">
        <f t="shared" si="4"/>
        <v>0</v>
      </c>
      <c r="M23" s="48">
        <f>0+J23</f>
        <v>0</v>
      </c>
      <c r="N23" s="49">
        <v>10000</v>
      </c>
      <c r="O23" s="45">
        <f t="shared" si="5"/>
        <v>0</v>
      </c>
      <c r="Q23" s="61"/>
      <c r="R23" s="61"/>
      <c r="S23" s="51"/>
    </row>
    <row r="24" spans="1:19" ht="20.100000000000001" customHeight="1" x14ac:dyDescent="0.2">
      <c r="B24" s="101">
        <v>4162</v>
      </c>
      <c r="C24" s="6" t="s">
        <v>494</v>
      </c>
      <c r="D24" s="49">
        <v>79907.539999999994</v>
      </c>
      <c r="E24" s="47">
        <f t="shared" si="0"/>
        <v>72500</v>
      </c>
      <c r="F24" s="49">
        <v>55572.87</v>
      </c>
      <c r="G24" s="47">
        <f t="shared" si="3"/>
        <v>72500</v>
      </c>
      <c r="H24" s="49">
        <v>68855.25</v>
      </c>
      <c r="I24" s="47">
        <f t="shared" si="6"/>
        <v>72500</v>
      </c>
      <c r="J24" s="48">
        <f t="shared" si="1"/>
        <v>204335.66</v>
      </c>
      <c r="K24" s="49">
        <f t="shared" si="2"/>
        <v>217500</v>
      </c>
      <c r="L24" s="62">
        <f t="shared" si="4"/>
        <v>93.947429885057474</v>
      </c>
      <c r="M24" s="48">
        <f>464821.01+J24</f>
        <v>669156.67000000004</v>
      </c>
      <c r="N24" s="49">
        <v>870000</v>
      </c>
      <c r="O24" s="45">
        <f t="shared" si="5"/>
        <v>76.914559770114948</v>
      </c>
      <c r="Q24" s="61"/>
      <c r="R24" s="61"/>
      <c r="S24" s="51"/>
    </row>
    <row r="25" spans="1:19" ht="20.100000000000001" customHeight="1" x14ac:dyDescent="0.2">
      <c r="B25" s="101">
        <v>4166</v>
      </c>
      <c r="C25" s="22" t="s">
        <v>491</v>
      </c>
      <c r="D25" s="47">
        <v>0</v>
      </c>
      <c r="E25" s="47">
        <f t="shared" si="0"/>
        <v>1810733.6483333334</v>
      </c>
      <c r="F25" s="47">
        <v>14854.5</v>
      </c>
      <c r="G25" s="47">
        <f t="shared" si="3"/>
        <v>1810733.6483333334</v>
      </c>
      <c r="H25" s="47">
        <v>1917918.77</v>
      </c>
      <c r="I25" s="47">
        <f t="shared" si="6"/>
        <v>1810733.6483333334</v>
      </c>
      <c r="J25" s="48">
        <f t="shared" si="1"/>
        <v>1932773.27</v>
      </c>
      <c r="K25" s="49">
        <f t="shared" si="2"/>
        <v>5432200.9450000003</v>
      </c>
      <c r="L25" s="62">
        <f t="shared" si="4"/>
        <v>35.579929563890609</v>
      </c>
      <c r="M25" s="48">
        <f>19716840.16+J25</f>
        <v>21649613.43</v>
      </c>
      <c r="N25" s="49">
        <v>21728803.780000001</v>
      </c>
      <c r="O25" s="45">
        <f t="shared" si="5"/>
        <v>99.635551267332573</v>
      </c>
      <c r="Q25" s="61"/>
      <c r="R25" s="61"/>
      <c r="S25" s="51"/>
    </row>
    <row r="26" spans="1:19" ht="20.100000000000001" customHeight="1" x14ac:dyDescent="0.2">
      <c r="B26" s="101">
        <v>4168</v>
      </c>
      <c r="C26" s="22" t="s">
        <v>490</v>
      </c>
      <c r="D26" s="47">
        <v>0</v>
      </c>
      <c r="E26" s="47">
        <f t="shared" si="0"/>
        <v>833.33333333333337</v>
      </c>
      <c r="F26" s="47">
        <v>0</v>
      </c>
      <c r="G26" s="47">
        <f t="shared" si="3"/>
        <v>833.33333333333337</v>
      </c>
      <c r="H26" s="47">
        <v>0</v>
      </c>
      <c r="I26" s="47">
        <f t="shared" si="6"/>
        <v>833.33333333333337</v>
      </c>
      <c r="J26" s="48">
        <f t="shared" si="1"/>
        <v>0</v>
      </c>
      <c r="K26" s="49">
        <f t="shared" si="2"/>
        <v>2500</v>
      </c>
      <c r="L26" s="62">
        <f t="shared" si="4"/>
        <v>0</v>
      </c>
      <c r="M26" s="48">
        <f>0+J26</f>
        <v>0</v>
      </c>
      <c r="N26" s="49">
        <v>10000</v>
      </c>
      <c r="O26" s="45">
        <f t="shared" si="5"/>
        <v>0</v>
      </c>
      <c r="Q26" s="61"/>
      <c r="R26" s="61"/>
      <c r="S26" s="51"/>
    </row>
    <row r="27" spans="1:19" ht="20.100000000000001" customHeight="1" x14ac:dyDescent="0.2">
      <c r="B27" s="101">
        <v>4169</v>
      </c>
      <c r="C27" s="22" t="s">
        <v>493</v>
      </c>
      <c r="D27" s="47">
        <v>39416.1</v>
      </c>
      <c r="E27" s="47">
        <f t="shared" si="0"/>
        <v>15250</v>
      </c>
      <c r="F27" s="47">
        <v>40340.99</v>
      </c>
      <c r="G27" s="47">
        <f t="shared" si="3"/>
        <v>15250</v>
      </c>
      <c r="H27" s="47">
        <v>-1883525.87</v>
      </c>
      <c r="I27" s="47">
        <f t="shared" si="6"/>
        <v>15250</v>
      </c>
      <c r="J27" s="48">
        <f t="shared" si="1"/>
        <v>-1803768.78</v>
      </c>
      <c r="K27" s="49">
        <f t="shared" si="2"/>
        <v>45750</v>
      </c>
      <c r="L27" s="62">
        <f t="shared" si="4"/>
        <v>-3942.6639999999998</v>
      </c>
      <c r="M27" s="48">
        <f>2019324.09+J27</f>
        <v>215555.31000000006</v>
      </c>
      <c r="N27" s="49">
        <v>183000</v>
      </c>
      <c r="O27" s="45">
        <f t="shared" si="5"/>
        <v>117.78978688524593</v>
      </c>
      <c r="Q27" s="61"/>
      <c r="R27" s="61"/>
      <c r="S27" s="51"/>
    </row>
    <row r="28" spans="1:19" ht="20.100000000000001" customHeight="1" x14ac:dyDescent="0.2">
      <c r="A28" s="75"/>
      <c r="B28" s="101" t="s">
        <v>130</v>
      </c>
      <c r="C28" s="22" t="s">
        <v>141</v>
      </c>
      <c r="D28" s="47">
        <v>12034121</v>
      </c>
      <c r="E28" s="47">
        <f t="shared" si="0"/>
        <v>9364083.333333334</v>
      </c>
      <c r="F28" s="47">
        <v>9431066</v>
      </c>
      <c r="G28" s="47">
        <f t="shared" si="3"/>
        <v>9364083.333333334</v>
      </c>
      <c r="H28" s="47">
        <v>6723236</v>
      </c>
      <c r="I28" s="47">
        <f t="shared" si="6"/>
        <v>9364083.333333334</v>
      </c>
      <c r="J28" s="48">
        <f t="shared" si="1"/>
        <v>28188423</v>
      </c>
      <c r="K28" s="49">
        <f t="shared" si="2"/>
        <v>28092250</v>
      </c>
      <c r="L28" s="62">
        <f t="shared" si="4"/>
        <v>100.34234708860986</v>
      </c>
      <c r="M28" s="48">
        <f>58553509+J28</f>
        <v>86741932</v>
      </c>
      <c r="N28" s="49">
        <v>112369000</v>
      </c>
      <c r="O28" s="45">
        <f t="shared" si="5"/>
        <v>77.193827479109018</v>
      </c>
      <c r="Q28" s="61"/>
      <c r="R28" s="61"/>
      <c r="S28" s="51"/>
    </row>
    <row r="29" spans="1:19" s="84" customFormat="1" ht="20.100000000000001" customHeight="1" x14ac:dyDescent="0.2">
      <c r="B29" s="101" t="s">
        <v>131</v>
      </c>
      <c r="C29" s="80" t="s">
        <v>142</v>
      </c>
      <c r="D29" s="98">
        <v>3784432</v>
      </c>
      <c r="E29" s="47">
        <f t="shared" si="0"/>
        <v>3591643.6983333337</v>
      </c>
      <c r="F29" s="98">
        <v>3784432</v>
      </c>
      <c r="G29" s="47">
        <f t="shared" si="3"/>
        <v>3591643.6983333337</v>
      </c>
      <c r="H29" s="98">
        <v>3784432</v>
      </c>
      <c r="I29" s="47">
        <f t="shared" si="6"/>
        <v>3591643.6983333337</v>
      </c>
      <c r="J29" s="48">
        <f t="shared" si="1"/>
        <v>11353296</v>
      </c>
      <c r="K29" s="49">
        <f t="shared" si="2"/>
        <v>10774931.095000001</v>
      </c>
      <c r="L29" s="62">
        <f t="shared" si="4"/>
        <v>105.36769005667594</v>
      </c>
      <c r="M29" s="48">
        <f>22706592+J29</f>
        <v>34059888</v>
      </c>
      <c r="N29" s="49">
        <v>43099724.380000003</v>
      </c>
      <c r="O29" s="45">
        <f t="shared" si="5"/>
        <v>79.025767542506955</v>
      </c>
      <c r="Q29" s="99"/>
      <c r="R29" s="99"/>
      <c r="S29" s="116"/>
    </row>
    <row r="30" spans="1:19" s="84" customFormat="1" ht="20.100000000000001" customHeight="1" x14ac:dyDescent="0.2">
      <c r="B30" s="101" t="s">
        <v>132</v>
      </c>
      <c r="C30" s="80" t="s">
        <v>143</v>
      </c>
      <c r="D30" s="98">
        <v>197615</v>
      </c>
      <c r="E30" s="47">
        <f t="shared" si="0"/>
        <v>1758134.5833333333</v>
      </c>
      <c r="F30" s="98">
        <v>0</v>
      </c>
      <c r="G30" s="47">
        <f t="shared" si="3"/>
        <v>1758134.5833333333</v>
      </c>
      <c r="H30" s="98">
        <v>0</v>
      </c>
      <c r="I30" s="47">
        <f t="shared" si="6"/>
        <v>1758134.5833333333</v>
      </c>
      <c r="J30" s="48">
        <f t="shared" si="1"/>
        <v>197615</v>
      </c>
      <c r="K30" s="49">
        <f t="shared" si="2"/>
        <v>5274403.75</v>
      </c>
      <c r="L30" s="62">
        <f t="shared" si="4"/>
        <v>3.7466794232428642</v>
      </c>
      <c r="M30" s="48">
        <f>0+J30</f>
        <v>197615</v>
      </c>
      <c r="N30" s="49">
        <v>21097615</v>
      </c>
      <c r="O30" s="45">
        <f t="shared" si="5"/>
        <v>0.93666985581071605</v>
      </c>
      <c r="Q30" s="99"/>
      <c r="R30" s="99"/>
      <c r="S30" s="116"/>
    </row>
    <row r="31" spans="1:19" ht="20.100000000000001" customHeight="1" x14ac:dyDescent="0.2">
      <c r="B31" s="101" t="s">
        <v>133</v>
      </c>
      <c r="C31" s="22" t="s">
        <v>144</v>
      </c>
      <c r="D31" s="50">
        <v>710705</v>
      </c>
      <c r="E31" s="47">
        <f t="shared" si="0"/>
        <v>493750</v>
      </c>
      <c r="F31" s="50">
        <v>535394</v>
      </c>
      <c r="G31" s="98">
        <f t="shared" si="3"/>
        <v>493750</v>
      </c>
      <c r="H31" s="50">
        <v>476000</v>
      </c>
      <c r="I31" s="47">
        <f t="shared" si="6"/>
        <v>493750</v>
      </c>
      <c r="J31" s="48">
        <f t="shared" si="1"/>
        <v>1722099</v>
      </c>
      <c r="K31" s="49">
        <f t="shared" si="2"/>
        <v>1481250</v>
      </c>
      <c r="L31" s="62">
        <f t="shared" si="4"/>
        <v>116.25984810126582</v>
      </c>
      <c r="M31" s="48">
        <f>3202261+J31</f>
        <v>4924360</v>
      </c>
      <c r="N31" s="49">
        <v>5925000</v>
      </c>
      <c r="O31" s="45">
        <f t="shared" si="5"/>
        <v>83.111561181434595</v>
      </c>
      <c r="Q31" s="61"/>
      <c r="R31" s="61"/>
      <c r="S31" s="51"/>
    </row>
    <row r="32" spans="1:19" ht="20.100000000000001" customHeight="1" x14ac:dyDescent="0.2">
      <c r="B32" s="118">
        <v>4221</v>
      </c>
      <c r="C32" s="120" t="s">
        <v>495</v>
      </c>
      <c r="D32" s="122">
        <v>4250000</v>
      </c>
      <c r="E32" s="47">
        <f t="shared" si="0"/>
        <v>1066666.6666666667</v>
      </c>
      <c r="F32" s="122">
        <v>0</v>
      </c>
      <c r="G32" s="122">
        <f t="shared" ref="G32" si="7">+E32</f>
        <v>1066666.6666666667</v>
      </c>
      <c r="H32" s="122">
        <v>6250000</v>
      </c>
      <c r="I32" s="47">
        <f t="shared" si="6"/>
        <v>1066666.6666666667</v>
      </c>
      <c r="J32" s="125">
        <f t="shared" ref="J32" si="8">D32+F32+H32</f>
        <v>10500000</v>
      </c>
      <c r="K32" s="49">
        <f t="shared" si="2"/>
        <v>3200000</v>
      </c>
      <c r="L32" s="127">
        <f t="shared" ref="L32" si="9">+J32/K32*100</f>
        <v>328.125</v>
      </c>
      <c r="M32" s="48">
        <f>0+J32</f>
        <v>10500000</v>
      </c>
      <c r="N32" s="122">
        <v>12800000</v>
      </c>
      <c r="O32" s="45">
        <f t="shared" si="5"/>
        <v>82.03125</v>
      </c>
      <c r="Q32" s="61"/>
      <c r="R32" s="61"/>
      <c r="S32" s="51"/>
    </row>
    <row r="33" spans="2:19" ht="20.100000000000001" customHeight="1" thickBot="1" x14ac:dyDescent="0.25">
      <c r="B33" s="117">
        <v>4399</v>
      </c>
      <c r="C33" s="119" t="s">
        <v>487</v>
      </c>
      <c r="D33" s="121">
        <v>0</v>
      </c>
      <c r="E33" s="131">
        <f t="shared" si="0"/>
        <v>0</v>
      </c>
      <c r="F33" s="121"/>
      <c r="G33" s="121">
        <f t="shared" si="3"/>
        <v>0</v>
      </c>
      <c r="H33" s="121">
        <v>0</v>
      </c>
      <c r="I33" s="123">
        <f t="shared" si="6"/>
        <v>0</v>
      </c>
      <c r="J33" s="124">
        <f t="shared" si="1"/>
        <v>0</v>
      </c>
      <c r="K33" s="121">
        <f t="shared" si="2"/>
        <v>0</v>
      </c>
      <c r="L33" s="126">
        <v>0</v>
      </c>
      <c r="M33" s="141">
        <f>0+J33</f>
        <v>0</v>
      </c>
      <c r="N33" s="121">
        <v>0</v>
      </c>
      <c r="O33" s="142">
        <v>0</v>
      </c>
      <c r="Q33" s="61"/>
      <c r="R33" s="61"/>
      <c r="S33" s="51"/>
    </row>
    <row r="34" spans="2:19" ht="12.75" thickBot="1" x14ac:dyDescent="0.25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Q34" s="61"/>
    </row>
    <row r="35" spans="2:19" ht="20.100000000000001" customHeight="1" thickBot="1" x14ac:dyDescent="0.25">
      <c r="B35" s="14"/>
      <c r="C35" s="15" t="s">
        <v>20</v>
      </c>
      <c r="D35" s="89">
        <f t="shared" ref="D35:K35" si="10">SUM(D13:D33)</f>
        <v>24350052.050000001</v>
      </c>
      <c r="E35" s="52">
        <f t="shared" si="10"/>
        <v>22380678.797499999</v>
      </c>
      <c r="F35" s="52">
        <f t="shared" si="10"/>
        <v>18694087.870000001</v>
      </c>
      <c r="G35" s="52">
        <f t="shared" si="10"/>
        <v>22380678.797499999</v>
      </c>
      <c r="H35" s="52">
        <f t="shared" si="10"/>
        <v>22168194.68</v>
      </c>
      <c r="I35" s="52">
        <f t="shared" si="10"/>
        <v>21997345.464166667</v>
      </c>
      <c r="J35" s="89">
        <f t="shared" si="10"/>
        <v>65212334.600000001</v>
      </c>
      <c r="K35" s="89">
        <f t="shared" si="10"/>
        <v>66758703.05916667</v>
      </c>
      <c r="L35" s="68">
        <f>J35/K35*100</f>
        <v>97.683645145418481</v>
      </c>
      <c r="M35" s="53">
        <f>SUM(M13:M33)</f>
        <v>209022427.55000001</v>
      </c>
      <c r="N35" s="53">
        <f>SUM(N13:N33)</f>
        <v>268568145.56999999</v>
      </c>
      <c r="O35" s="68">
        <f>M35/N35*100</f>
        <v>77.828450990111961</v>
      </c>
      <c r="Q35" s="61"/>
    </row>
    <row r="36" spans="2:19" ht="20.100000000000001" customHeight="1" x14ac:dyDescent="0.2">
      <c r="B36" s="14"/>
      <c r="C36" s="15"/>
      <c r="D36" s="103"/>
      <c r="E36" s="76" t="s">
        <v>0</v>
      </c>
      <c r="F36" s="76"/>
      <c r="G36" s="76"/>
      <c r="H36" s="76"/>
      <c r="I36" s="76"/>
      <c r="J36" s="103"/>
      <c r="K36" s="103"/>
      <c r="L36" s="103"/>
      <c r="M36" s="76"/>
      <c r="N36" s="76"/>
      <c r="O36" s="77"/>
      <c r="Q36" s="61"/>
    </row>
    <row r="37" spans="2:19" ht="20.100000000000001" customHeight="1" x14ac:dyDescent="0.2">
      <c r="B37" s="14"/>
      <c r="C37" s="15"/>
      <c r="D37" s="103" t="s">
        <v>0</v>
      </c>
      <c r="E37" s="76" t="s">
        <v>0</v>
      </c>
      <c r="F37" s="76"/>
      <c r="G37" s="76"/>
      <c r="H37" s="76"/>
      <c r="I37" s="76"/>
      <c r="J37" s="103"/>
      <c r="K37" s="103"/>
      <c r="L37" s="103"/>
      <c r="M37" s="76"/>
      <c r="N37" s="76"/>
      <c r="O37" s="77"/>
      <c r="Q37" s="61"/>
    </row>
    <row r="38" spans="2:19" ht="20.100000000000001" customHeight="1" x14ac:dyDescent="0.2">
      <c r="B38" s="14"/>
      <c r="C38" s="15"/>
      <c r="D38" s="103"/>
      <c r="E38" s="76"/>
      <c r="F38" s="76"/>
      <c r="G38" s="76"/>
      <c r="H38" s="76"/>
      <c r="I38" s="76"/>
      <c r="J38" s="103"/>
      <c r="K38" s="103"/>
      <c r="L38" s="103"/>
      <c r="M38" s="76"/>
      <c r="N38" s="76"/>
      <c r="O38" s="77"/>
      <c r="Q38" s="61"/>
    </row>
    <row r="39" spans="2:19" ht="20.100000000000001" customHeight="1" x14ac:dyDescent="0.2">
      <c r="B39" s="14"/>
      <c r="C39" s="15"/>
      <c r="D39" s="103"/>
      <c r="E39" s="76"/>
      <c r="F39" s="76"/>
      <c r="G39" s="76"/>
      <c r="H39" s="76"/>
      <c r="I39" s="76"/>
      <c r="J39" s="103"/>
      <c r="K39" s="103"/>
      <c r="L39" s="103"/>
      <c r="M39" s="76"/>
      <c r="N39" s="76"/>
      <c r="O39" s="77"/>
      <c r="Q39" s="61"/>
    </row>
    <row r="40" spans="2:19" ht="20.100000000000001" customHeight="1" x14ac:dyDescent="0.2">
      <c r="B40" s="14"/>
      <c r="C40" s="15"/>
      <c r="D40" s="103"/>
      <c r="E40" s="76"/>
      <c r="F40" s="76"/>
      <c r="G40" s="76"/>
      <c r="H40" s="76"/>
      <c r="I40" s="76"/>
      <c r="J40" s="103"/>
      <c r="K40" s="103"/>
      <c r="L40" s="103"/>
      <c r="M40" s="76"/>
      <c r="N40" s="76"/>
      <c r="O40" s="77"/>
      <c r="Q40" s="61"/>
    </row>
    <row r="41" spans="2:19" ht="20.100000000000001" customHeight="1" x14ac:dyDescent="0.2">
      <c r="B41" s="14"/>
      <c r="C41" s="15"/>
      <c r="D41" s="103"/>
      <c r="E41" s="76"/>
      <c r="F41" s="76"/>
      <c r="G41" s="76"/>
      <c r="H41" s="76"/>
      <c r="I41" s="76"/>
      <c r="J41" s="103"/>
      <c r="K41" s="103"/>
      <c r="L41" s="103"/>
      <c r="M41" s="76"/>
      <c r="N41" s="76"/>
      <c r="O41" s="77"/>
      <c r="Q41" s="61"/>
    </row>
    <row r="42" spans="2:19" ht="20.100000000000001" customHeight="1" x14ac:dyDescent="0.2">
      <c r="B42" s="14"/>
      <c r="C42" s="15"/>
      <c r="D42" s="103"/>
      <c r="E42" s="76"/>
      <c r="F42" s="76"/>
      <c r="G42" s="76"/>
      <c r="H42" s="76"/>
      <c r="I42" s="76"/>
      <c r="J42" s="103"/>
      <c r="K42" s="103"/>
      <c r="L42" s="103"/>
      <c r="M42" s="76"/>
      <c r="N42" s="76"/>
      <c r="O42" s="77"/>
      <c r="Q42" s="61"/>
    </row>
    <row r="43" spans="2:19" ht="20.100000000000001" customHeight="1" x14ac:dyDescent="0.2">
      <c r="B43" s="14"/>
      <c r="C43" s="15"/>
      <c r="D43" s="103"/>
      <c r="E43" s="76"/>
      <c r="F43" s="76"/>
      <c r="G43" s="76"/>
      <c r="H43" s="76"/>
      <c r="I43" s="76"/>
      <c r="J43" s="103"/>
      <c r="K43" s="103"/>
      <c r="L43" s="103"/>
      <c r="M43" s="76"/>
      <c r="N43" s="76"/>
      <c r="O43" s="77"/>
      <c r="Q43" s="61"/>
    </row>
    <row r="44" spans="2:19" ht="12" x14ac:dyDescent="0.2">
      <c r="D44" s="60"/>
      <c r="E44" s="24"/>
      <c r="K44" s="60"/>
      <c r="L44" s="60"/>
      <c r="M44" s="61"/>
      <c r="N44" s="60"/>
    </row>
    <row r="45" spans="2:19" ht="12" x14ac:dyDescent="0.2">
      <c r="D45" s="60"/>
      <c r="E45" s="24"/>
      <c r="K45" s="60"/>
      <c r="L45" s="60"/>
      <c r="M45" s="61"/>
      <c r="N45" s="60"/>
    </row>
    <row r="46" spans="2:19" ht="12" x14ac:dyDescent="0.2">
      <c r="D46" s="60"/>
      <c r="E46" s="24"/>
      <c r="K46" s="60"/>
      <c r="L46" s="60"/>
      <c r="M46" s="61"/>
      <c r="N46" s="60"/>
    </row>
    <row r="47" spans="2:19" ht="12" x14ac:dyDescent="0.2">
      <c r="D47" s="60"/>
      <c r="E47" s="24"/>
      <c r="K47" s="60"/>
      <c r="L47" s="60"/>
      <c r="M47" s="61"/>
      <c r="N47" s="60"/>
    </row>
    <row r="48" spans="2:19" ht="12" x14ac:dyDescent="0.2">
      <c r="D48" s="60"/>
      <c r="E48" s="24"/>
      <c r="K48" s="60"/>
      <c r="L48" s="60"/>
      <c r="M48" s="61"/>
      <c r="N48" s="60"/>
    </row>
    <row r="49" spans="1:20" ht="12" x14ac:dyDescent="0.2">
      <c r="D49" s="60"/>
      <c r="E49" s="24"/>
      <c r="K49" s="60"/>
      <c r="L49" s="60"/>
      <c r="M49" s="61"/>
      <c r="N49" s="60"/>
    </row>
    <row r="50" spans="1:20" ht="12" x14ac:dyDescent="0.2">
      <c r="D50" s="60"/>
      <c r="E50" s="24"/>
      <c r="K50" s="60"/>
      <c r="L50" s="60"/>
      <c r="M50" s="61"/>
      <c r="N50" s="60"/>
    </row>
    <row r="51" spans="1:20" ht="12" x14ac:dyDescent="0.2">
      <c r="D51" s="60"/>
      <c r="E51" s="24"/>
      <c r="K51" s="60"/>
      <c r="L51" s="60"/>
      <c r="M51" s="61"/>
      <c r="N51" s="60"/>
    </row>
    <row r="52" spans="1:20" ht="12" x14ac:dyDescent="0.2">
      <c r="D52" s="60"/>
      <c r="E52" s="24"/>
      <c r="K52" s="60"/>
      <c r="L52" s="60"/>
      <c r="M52" s="61"/>
      <c r="N52" s="60"/>
    </row>
    <row r="53" spans="1:20" ht="12.75" x14ac:dyDescent="0.2">
      <c r="B53" s="154" t="s">
        <v>1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</row>
    <row r="54" spans="1:20" ht="12" x14ac:dyDescent="0.2">
      <c r="B54" s="17"/>
      <c r="C54" s="17" t="s">
        <v>2</v>
      </c>
    </row>
    <row r="55" spans="1:20" ht="12" x14ac:dyDescent="0.2">
      <c r="B55" s="17"/>
      <c r="G55" s="16" t="s">
        <v>3</v>
      </c>
    </row>
    <row r="56" spans="1:20" ht="12" x14ac:dyDescent="0.2">
      <c r="B56" s="17"/>
      <c r="G56" s="16" t="s">
        <v>4</v>
      </c>
    </row>
    <row r="57" spans="1:20" ht="12" x14ac:dyDescent="0.2">
      <c r="B57" s="17"/>
      <c r="G57" s="16" t="s">
        <v>5</v>
      </c>
      <c r="H57" s="18"/>
      <c r="I57" s="18"/>
      <c r="J57" s="18"/>
      <c r="K57" s="18"/>
    </row>
    <row r="58" spans="1:20" ht="13.5" customHeight="1" x14ac:dyDescent="0.2">
      <c r="B58" s="17"/>
      <c r="G58" s="16" t="s">
        <v>6</v>
      </c>
      <c r="H58" s="20" t="s">
        <v>7</v>
      </c>
      <c r="I58" s="19"/>
      <c r="J58" s="19"/>
      <c r="K58" s="19"/>
    </row>
    <row r="59" spans="1:20" ht="13.5" customHeight="1" x14ac:dyDescent="0.2">
      <c r="G59" s="16" t="s">
        <v>8</v>
      </c>
      <c r="H59" s="140" t="str">
        <f>+H8</f>
        <v>Julio-Septiembre 2019</v>
      </c>
      <c r="I59" s="19"/>
      <c r="J59" s="19"/>
      <c r="K59" s="19"/>
    </row>
    <row r="60" spans="1:20" ht="9.75" thickBot="1" x14ac:dyDescent="0.2">
      <c r="D60" s="23"/>
      <c r="K60" s="24"/>
    </row>
    <row r="61" spans="1:20" ht="24" customHeight="1" thickTop="1" thickBot="1" x14ac:dyDescent="0.2">
      <c r="B61" s="145" t="s">
        <v>21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7"/>
    </row>
    <row r="62" spans="1:20" ht="41.25" customHeight="1" thickTop="1" thickBot="1" x14ac:dyDescent="0.2">
      <c r="B62" s="148" t="s">
        <v>10</v>
      </c>
      <c r="C62" s="149"/>
      <c r="D62" s="4" t="s">
        <v>11</v>
      </c>
      <c r="E62" s="4" t="str">
        <f>E11</f>
        <v>JULIO</v>
      </c>
      <c r="F62" s="4" t="s">
        <v>11</v>
      </c>
      <c r="G62" s="4" t="str">
        <f>G11</f>
        <v>AGOSTO</v>
      </c>
      <c r="H62" s="4" t="s">
        <v>11</v>
      </c>
      <c r="I62" s="4" t="str">
        <f>I11</f>
        <v>SEPTIEMBRE</v>
      </c>
      <c r="J62" s="150" t="s">
        <v>12</v>
      </c>
      <c r="K62" s="151"/>
      <c r="L62" s="11" t="s">
        <v>13</v>
      </c>
      <c r="M62" s="152" t="s">
        <v>14</v>
      </c>
      <c r="N62" s="153"/>
      <c r="O62" s="13" t="s">
        <v>13</v>
      </c>
    </row>
    <row r="63" spans="1:20" ht="57" customHeight="1" thickBot="1" x14ac:dyDescent="0.2">
      <c r="B63" s="7" t="s">
        <v>15</v>
      </c>
      <c r="C63" s="2" t="s">
        <v>16</v>
      </c>
      <c r="D63" s="73" t="s">
        <v>17</v>
      </c>
      <c r="E63" s="2" t="s">
        <v>18</v>
      </c>
      <c r="F63" s="73" t="s">
        <v>17</v>
      </c>
      <c r="G63" s="2" t="s">
        <v>18</v>
      </c>
      <c r="H63" s="73" t="s">
        <v>17</v>
      </c>
      <c r="I63" s="2" t="s">
        <v>18</v>
      </c>
      <c r="J63" s="73" t="s">
        <v>17</v>
      </c>
      <c r="K63" s="2" t="s">
        <v>18</v>
      </c>
      <c r="L63" s="12" t="s">
        <v>19</v>
      </c>
      <c r="M63" s="74" t="s">
        <v>17</v>
      </c>
      <c r="N63" s="7" t="s">
        <v>18</v>
      </c>
      <c r="O63" s="8" t="s">
        <v>23</v>
      </c>
      <c r="P63" s="3"/>
      <c r="Q63" s="3"/>
      <c r="R63" s="3"/>
      <c r="S63" s="3"/>
      <c r="T63" s="3"/>
    </row>
    <row r="64" spans="1:20" ht="20.100000000000001" customHeight="1" x14ac:dyDescent="0.2">
      <c r="A64" s="75"/>
      <c r="B64" s="102" t="s">
        <v>145</v>
      </c>
      <c r="C64" s="80" t="s">
        <v>165</v>
      </c>
      <c r="D64" s="25">
        <v>4615689.62</v>
      </c>
      <c r="E64" s="69">
        <f>49153791.37/12</f>
        <v>4096149.2808333333</v>
      </c>
      <c r="F64" s="25">
        <v>5083490.4800000004</v>
      </c>
      <c r="G64" s="69">
        <f>+E64</f>
        <v>4096149.2808333333</v>
      </c>
      <c r="H64" s="25">
        <v>4931671.29</v>
      </c>
      <c r="I64" s="69">
        <f>G64</f>
        <v>4096149.2808333333</v>
      </c>
      <c r="J64" s="32">
        <f t="shared" ref="J64:J73" si="11">+D64+F64+H64</f>
        <v>14630851.390000001</v>
      </c>
      <c r="K64" s="32">
        <f>+E64+G64+I64</f>
        <v>12288447.842499999</v>
      </c>
      <c r="L64" s="28">
        <f>+J64/K64*100</f>
        <v>119.06183415124832</v>
      </c>
      <c r="M64" s="32">
        <f>27934022.1+J64</f>
        <v>42564873.490000002</v>
      </c>
      <c r="N64" s="71">
        <v>59848984.729999997</v>
      </c>
      <c r="O64" s="29">
        <f>M64/N64*100</f>
        <v>71.120460408852793</v>
      </c>
      <c r="P64" s="60"/>
      <c r="Q64" s="55"/>
      <c r="R64" s="55"/>
      <c r="S64" s="55"/>
    </row>
    <row r="65" spans="1:19" ht="20.100000000000001" customHeight="1" x14ac:dyDescent="0.2">
      <c r="B65" s="102" t="s">
        <v>146</v>
      </c>
      <c r="C65" s="80" t="s">
        <v>166</v>
      </c>
      <c r="D65" s="81">
        <v>259262.54</v>
      </c>
      <c r="E65" s="65">
        <f t="shared" ref="E65:E96" si="12">N65/12</f>
        <v>88428.684999999998</v>
      </c>
      <c r="F65" s="81">
        <v>-167971.34</v>
      </c>
      <c r="G65" s="81">
        <f>+E65</f>
        <v>88428.684999999998</v>
      </c>
      <c r="H65" s="81">
        <v>0</v>
      </c>
      <c r="I65" s="65">
        <f>G65</f>
        <v>88428.684999999998</v>
      </c>
      <c r="J65" s="106">
        <f t="shared" si="11"/>
        <v>91291.200000000012</v>
      </c>
      <c r="K65" s="106">
        <f t="shared" ref="K65:K96" si="13">+E65+G65+I65</f>
        <v>265286.05499999999</v>
      </c>
      <c r="L65" s="28">
        <f>+J65/K65*100</f>
        <v>34.412362911424054</v>
      </c>
      <c r="M65" s="107">
        <f>969853.02+J65</f>
        <v>1061144.22</v>
      </c>
      <c r="N65" s="108">
        <v>1061144.22</v>
      </c>
      <c r="O65" s="110">
        <f>M65/N65*100</f>
        <v>100</v>
      </c>
      <c r="P65" s="60"/>
      <c r="Q65" s="55"/>
      <c r="R65" s="55"/>
      <c r="S65" s="55"/>
    </row>
    <row r="66" spans="1:19" ht="20.100000000000001" customHeight="1" x14ac:dyDescent="0.2">
      <c r="B66" s="102" t="s">
        <v>147</v>
      </c>
      <c r="C66" s="80" t="s">
        <v>167</v>
      </c>
      <c r="D66" s="81">
        <v>480187.93</v>
      </c>
      <c r="E66" s="65">
        <f t="shared" si="12"/>
        <v>1403314.1733333331</v>
      </c>
      <c r="F66" s="81">
        <v>445551.22</v>
      </c>
      <c r="G66" s="81">
        <f>+E66</f>
        <v>1403314.1733333331</v>
      </c>
      <c r="H66" s="81">
        <v>4105135.97</v>
      </c>
      <c r="I66" s="65">
        <f t="shared" ref="I66:I95" si="14">G66</f>
        <v>1403314.1733333331</v>
      </c>
      <c r="J66" s="107">
        <f t="shared" si="11"/>
        <v>5030875.12</v>
      </c>
      <c r="K66" s="107">
        <f t="shared" si="13"/>
        <v>4209942.5199999996</v>
      </c>
      <c r="L66" s="28">
        <f t="shared" ref="L66:L96" si="15">+J66/K66*100</f>
        <v>119.49985293385907</v>
      </c>
      <c r="M66" s="107">
        <f>1245912.43+J66</f>
        <v>6276787.5499999998</v>
      </c>
      <c r="N66" s="108">
        <v>16839770.079999998</v>
      </c>
      <c r="O66" s="110">
        <f t="shared" ref="O66:O96" si="16">M66/N66*100</f>
        <v>37.273594117859837</v>
      </c>
      <c r="P66" s="60"/>
      <c r="Q66" s="55"/>
      <c r="R66" s="55"/>
      <c r="S66" s="55"/>
    </row>
    <row r="67" spans="1:19" ht="20.100000000000001" customHeight="1" x14ac:dyDescent="0.2">
      <c r="A67" s="75"/>
      <c r="B67" s="102" t="s">
        <v>148</v>
      </c>
      <c r="C67" s="80" t="s">
        <v>168</v>
      </c>
      <c r="D67" s="65">
        <v>1189498.1499999999</v>
      </c>
      <c r="E67" s="65">
        <f t="shared" si="12"/>
        <v>1406857.3333333333</v>
      </c>
      <c r="F67" s="65">
        <v>1183974.8600000001</v>
      </c>
      <c r="G67" s="81">
        <f>E67</f>
        <v>1406857.3333333333</v>
      </c>
      <c r="H67" s="65">
        <v>1224948.74</v>
      </c>
      <c r="I67" s="65">
        <f t="shared" si="14"/>
        <v>1406857.3333333333</v>
      </c>
      <c r="J67" s="107">
        <f t="shared" si="11"/>
        <v>3598421.75</v>
      </c>
      <c r="K67" s="107">
        <f t="shared" si="13"/>
        <v>4220572</v>
      </c>
      <c r="L67" s="28">
        <f t="shared" si="15"/>
        <v>85.259101136054554</v>
      </c>
      <c r="M67" s="107">
        <f>6641368.89+J67</f>
        <v>10239790.640000001</v>
      </c>
      <c r="N67" s="108">
        <v>16882288</v>
      </c>
      <c r="O67" s="110">
        <f t="shared" si="16"/>
        <v>60.654045470613937</v>
      </c>
      <c r="Q67" s="55"/>
      <c r="R67" s="55"/>
      <c r="S67" s="55"/>
    </row>
    <row r="68" spans="1:19" ht="20.100000000000001" customHeight="1" x14ac:dyDescent="0.2">
      <c r="B68" s="102" t="s">
        <v>149</v>
      </c>
      <c r="C68" s="80" t="s">
        <v>169</v>
      </c>
      <c r="D68" s="65">
        <v>1611516.57</v>
      </c>
      <c r="E68" s="65">
        <f t="shared" si="12"/>
        <v>1810745.1683333332</v>
      </c>
      <c r="F68" s="65">
        <v>1633036.89</v>
      </c>
      <c r="G68" s="81">
        <f t="shared" ref="G68:G96" si="17">+E68</f>
        <v>1810745.1683333332</v>
      </c>
      <c r="H68" s="65">
        <v>1815257.21</v>
      </c>
      <c r="I68" s="65">
        <f t="shared" si="14"/>
        <v>1810745.1683333332</v>
      </c>
      <c r="J68" s="107">
        <f t="shared" si="11"/>
        <v>5059810.67</v>
      </c>
      <c r="K68" s="107">
        <f t="shared" si="13"/>
        <v>5432235.5049999999</v>
      </c>
      <c r="L68" s="28">
        <f t="shared" si="15"/>
        <v>93.144169934142056</v>
      </c>
      <c r="M68" s="107">
        <f>10342294.38+J68</f>
        <v>15402105.050000001</v>
      </c>
      <c r="N68" s="108">
        <v>21728942.02</v>
      </c>
      <c r="O68" s="110">
        <f t="shared" si="16"/>
        <v>70.882903713505328</v>
      </c>
      <c r="Q68" s="55"/>
      <c r="R68" s="55"/>
      <c r="S68" s="55"/>
    </row>
    <row r="69" spans="1:19" ht="20.100000000000001" customHeight="1" x14ac:dyDescent="0.2">
      <c r="B69" s="102" t="s">
        <v>150</v>
      </c>
      <c r="C69" s="80" t="s">
        <v>170</v>
      </c>
      <c r="D69" s="65">
        <v>225878.95</v>
      </c>
      <c r="E69" s="65">
        <f t="shared" si="12"/>
        <v>162778.38083333333</v>
      </c>
      <c r="F69" s="65">
        <v>200521.71</v>
      </c>
      <c r="G69" s="81">
        <f t="shared" si="17"/>
        <v>162778.38083333333</v>
      </c>
      <c r="H69" s="65">
        <v>359198.71999999997</v>
      </c>
      <c r="I69" s="65">
        <f t="shared" si="14"/>
        <v>162778.38083333333</v>
      </c>
      <c r="J69" s="107">
        <f t="shared" si="11"/>
        <v>785599.38</v>
      </c>
      <c r="K69" s="107">
        <f t="shared" si="13"/>
        <v>488335.14249999996</v>
      </c>
      <c r="L69" s="28">
        <f t="shared" si="15"/>
        <v>160.87299717529547</v>
      </c>
      <c r="M69" s="107">
        <f>574317.2+J69</f>
        <v>1359916.58</v>
      </c>
      <c r="N69" s="108">
        <v>1953340.57</v>
      </c>
      <c r="O69" s="110">
        <f t="shared" si="16"/>
        <v>69.620044803554151</v>
      </c>
      <c r="Q69" s="55"/>
      <c r="R69" s="55"/>
      <c r="S69" s="55"/>
    </row>
    <row r="70" spans="1:19" ht="20.100000000000001" customHeight="1" x14ac:dyDescent="0.2">
      <c r="A70" s="75"/>
      <c r="B70" s="102" t="s">
        <v>151</v>
      </c>
      <c r="C70" s="80" t="s">
        <v>171</v>
      </c>
      <c r="D70" s="65">
        <v>49223.4</v>
      </c>
      <c r="E70" s="65">
        <f t="shared" si="12"/>
        <v>34100.958333333336</v>
      </c>
      <c r="F70" s="65">
        <v>9961.2000000000007</v>
      </c>
      <c r="G70" s="81">
        <f t="shared" si="17"/>
        <v>34100.958333333336</v>
      </c>
      <c r="H70" s="65">
        <v>47110.96</v>
      </c>
      <c r="I70" s="65">
        <f t="shared" si="14"/>
        <v>34100.958333333336</v>
      </c>
      <c r="J70" s="107">
        <f t="shared" si="11"/>
        <v>106295.56</v>
      </c>
      <c r="K70" s="107">
        <f t="shared" si="13"/>
        <v>102302.875</v>
      </c>
      <c r="L70" s="28">
        <f t="shared" si="15"/>
        <v>103.90280820553674</v>
      </c>
      <c r="M70" s="107">
        <f>228543.45+J70</f>
        <v>334839.01</v>
      </c>
      <c r="N70" s="108">
        <v>409211.5</v>
      </c>
      <c r="O70" s="110">
        <f t="shared" si="16"/>
        <v>81.825415463641662</v>
      </c>
      <c r="Q70" s="55"/>
      <c r="R70" s="55"/>
      <c r="S70" s="55"/>
    </row>
    <row r="71" spans="1:19" ht="20.100000000000001" customHeight="1" x14ac:dyDescent="0.2">
      <c r="A71" s="75"/>
      <c r="B71" s="102">
        <v>5123</v>
      </c>
      <c r="C71" s="80" t="s">
        <v>186</v>
      </c>
      <c r="D71" s="65">
        <v>6400.01</v>
      </c>
      <c r="E71" s="65">
        <f t="shared" si="12"/>
        <v>1916.6666666666667</v>
      </c>
      <c r="F71" s="65">
        <v>0</v>
      </c>
      <c r="G71" s="81">
        <f t="shared" si="17"/>
        <v>1916.6666666666667</v>
      </c>
      <c r="H71" s="65">
        <v>0</v>
      </c>
      <c r="I71" s="65">
        <f t="shared" si="14"/>
        <v>1916.6666666666667</v>
      </c>
      <c r="J71" s="107">
        <f t="shared" si="11"/>
        <v>6400.01</v>
      </c>
      <c r="K71" s="107">
        <f t="shared" si="13"/>
        <v>5750</v>
      </c>
      <c r="L71" s="28">
        <f t="shared" si="15"/>
        <v>111.30452173913044</v>
      </c>
      <c r="M71" s="107">
        <f>8546.75+J71</f>
        <v>14946.76</v>
      </c>
      <c r="N71" s="108">
        <v>23000</v>
      </c>
      <c r="O71" s="110">
        <f t="shared" si="16"/>
        <v>64.985913043478263</v>
      </c>
      <c r="Q71" s="55"/>
      <c r="R71" s="55"/>
      <c r="S71" s="55"/>
    </row>
    <row r="72" spans="1:19" ht="20.100000000000001" customHeight="1" x14ac:dyDescent="0.2">
      <c r="B72" s="102" t="s">
        <v>152</v>
      </c>
      <c r="C72" s="80" t="s">
        <v>172</v>
      </c>
      <c r="D72" s="65">
        <v>855890.12</v>
      </c>
      <c r="E72" s="65">
        <f t="shared" si="12"/>
        <v>1172273.1808333334</v>
      </c>
      <c r="F72" s="65">
        <v>276729.03000000003</v>
      </c>
      <c r="G72" s="81">
        <f t="shared" si="17"/>
        <v>1172273.1808333334</v>
      </c>
      <c r="H72" s="65">
        <v>2090035.66</v>
      </c>
      <c r="I72" s="65">
        <f t="shared" si="14"/>
        <v>1172273.1808333334</v>
      </c>
      <c r="J72" s="107">
        <f t="shared" si="11"/>
        <v>3222654.8099999996</v>
      </c>
      <c r="K72" s="107">
        <f t="shared" si="13"/>
        <v>3516819.5425000004</v>
      </c>
      <c r="L72" s="28">
        <f t="shared" si="15"/>
        <v>91.635489710373704</v>
      </c>
      <c r="M72" s="107">
        <f>8352257.32+J72</f>
        <v>11574912.129999999</v>
      </c>
      <c r="N72" s="108">
        <v>14067278.17</v>
      </c>
      <c r="O72" s="110">
        <f t="shared" si="16"/>
        <v>82.282528219885194</v>
      </c>
      <c r="Q72" s="55"/>
      <c r="R72" s="55"/>
      <c r="S72" s="55"/>
    </row>
    <row r="73" spans="1:19" ht="20.100000000000001" customHeight="1" x14ac:dyDescent="0.2">
      <c r="B73" s="102">
        <v>5125</v>
      </c>
      <c r="C73" s="80" t="s">
        <v>187</v>
      </c>
      <c r="D73" s="65">
        <v>953.52</v>
      </c>
      <c r="E73" s="65">
        <f t="shared" si="12"/>
        <v>5083.333333333333</v>
      </c>
      <c r="F73" s="65">
        <v>2301.9</v>
      </c>
      <c r="G73" s="81">
        <f t="shared" si="17"/>
        <v>5083.333333333333</v>
      </c>
      <c r="H73" s="65">
        <v>7242.84</v>
      </c>
      <c r="I73" s="65">
        <f t="shared" si="14"/>
        <v>5083.333333333333</v>
      </c>
      <c r="J73" s="107">
        <f t="shared" si="11"/>
        <v>10498.26</v>
      </c>
      <c r="K73" s="107">
        <f t="shared" si="13"/>
        <v>15250</v>
      </c>
      <c r="L73" s="28">
        <f t="shared" si="15"/>
        <v>68.841049180327872</v>
      </c>
      <c r="M73" s="107">
        <f>6346.07+J73</f>
        <v>16844.330000000002</v>
      </c>
      <c r="N73" s="108">
        <v>61000</v>
      </c>
      <c r="O73" s="110">
        <f t="shared" si="16"/>
        <v>27.613655737704924</v>
      </c>
      <c r="Q73" s="55"/>
      <c r="R73" s="55"/>
      <c r="S73" s="55"/>
    </row>
    <row r="74" spans="1:19" ht="20.100000000000001" customHeight="1" x14ac:dyDescent="0.2">
      <c r="B74" s="102" t="s">
        <v>153</v>
      </c>
      <c r="C74" s="80" t="s">
        <v>173</v>
      </c>
      <c r="D74" s="65">
        <v>904222.9</v>
      </c>
      <c r="E74" s="65">
        <f t="shared" si="12"/>
        <v>885536.74750000006</v>
      </c>
      <c r="F74" s="65">
        <v>1079144.27</v>
      </c>
      <c r="G74" s="81">
        <f t="shared" si="17"/>
        <v>885536.74750000006</v>
      </c>
      <c r="H74" s="65">
        <v>976723.86</v>
      </c>
      <c r="I74" s="65">
        <f t="shared" si="14"/>
        <v>885536.74750000006</v>
      </c>
      <c r="J74" s="107">
        <f t="shared" ref="J74:J96" si="18">+D74+F74+H74</f>
        <v>2960091.03</v>
      </c>
      <c r="K74" s="107">
        <f t="shared" si="13"/>
        <v>2656610.2425000002</v>
      </c>
      <c r="L74" s="28">
        <f t="shared" si="15"/>
        <v>111.42360978080133</v>
      </c>
      <c r="M74" s="107">
        <f>5142019.85+J74</f>
        <v>8102110.879999999</v>
      </c>
      <c r="N74" s="108">
        <v>10626440.970000001</v>
      </c>
      <c r="O74" s="110">
        <f t="shared" si="16"/>
        <v>76.24482084710624</v>
      </c>
      <c r="Q74" s="55"/>
      <c r="R74" s="55"/>
      <c r="S74" s="55"/>
    </row>
    <row r="75" spans="1:19" ht="20.100000000000001" customHeight="1" x14ac:dyDescent="0.2">
      <c r="A75" s="75"/>
      <c r="B75" s="102" t="s">
        <v>154</v>
      </c>
      <c r="C75" s="80" t="s">
        <v>174</v>
      </c>
      <c r="D75" s="65">
        <v>43018.76</v>
      </c>
      <c r="E75" s="65">
        <f t="shared" si="12"/>
        <v>103850.17166666668</v>
      </c>
      <c r="F75" s="65">
        <v>7787.89</v>
      </c>
      <c r="G75" s="81">
        <f t="shared" si="17"/>
        <v>103850.17166666668</v>
      </c>
      <c r="H75" s="65">
        <v>62128.44</v>
      </c>
      <c r="I75" s="65">
        <f>G75</f>
        <v>103850.17166666668</v>
      </c>
      <c r="J75" s="107">
        <f t="shared" si="18"/>
        <v>112935.09</v>
      </c>
      <c r="K75" s="107">
        <f t="shared" si="13"/>
        <v>311550.51500000001</v>
      </c>
      <c r="L75" s="28">
        <f t="shared" si="15"/>
        <v>36.249367137139856</v>
      </c>
      <c r="M75" s="107">
        <f>1021756.97+J75</f>
        <v>1134692.06</v>
      </c>
      <c r="N75" s="108">
        <v>1246202.06</v>
      </c>
      <c r="O75" s="110">
        <f t="shared" si="16"/>
        <v>91.052012865393593</v>
      </c>
      <c r="Q75" s="55"/>
      <c r="R75" s="55"/>
      <c r="S75" s="55"/>
    </row>
    <row r="76" spans="1:19" ht="20.100000000000001" customHeight="1" x14ac:dyDescent="0.2">
      <c r="A76" s="75"/>
      <c r="B76" s="102">
        <v>5128</v>
      </c>
      <c r="C76" s="80" t="s">
        <v>188</v>
      </c>
      <c r="D76" s="65">
        <v>0</v>
      </c>
      <c r="E76" s="65">
        <f t="shared" si="12"/>
        <v>750</v>
      </c>
      <c r="F76" s="65">
        <v>0</v>
      </c>
      <c r="G76" s="81">
        <f t="shared" si="17"/>
        <v>750</v>
      </c>
      <c r="H76" s="65">
        <v>0</v>
      </c>
      <c r="I76" s="65">
        <f t="shared" si="14"/>
        <v>750</v>
      </c>
      <c r="J76" s="107">
        <f t="shared" si="18"/>
        <v>0</v>
      </c>
      <c r="K76" s="107">
        <f t="shared" si="13"/>
        <v>2250</v>
      </c>
      <c r="L76" s="28">
        <f t="shared" si="15"/>
        <v>0</v>
      </c>
      <c r="M76" s="107">
        <f>0+J76</f>
        <v>0</v>
      </c>
      <c r="N76" s="108">
        <v>9000</v>
      </c>
      <c r="O76" s="110">
        <f t="shared" si="16"/>
        <v>0</v>
      </c>
      <c r="Q76" s="55"/>
      <c r="R76" s="55"/>
      <c r="S76" s="55"/>
    </row>
    <row r="77" spans="1:19" ht="20.100000000000001" customHeight="1" x14ac:dyDescent="0.2">
      <c r="B77" s="102" t="s">
        <v>155</v>
      </c>
      <c r="C77" s="80" t="s">
        <v>175</v>
      </c>
      <c r="D77" s="65">
        <v>218805.23</v>
      </c>
      <c r="E77" s="65">
        <f t="shared" si="12"/>
        <v>231006.06499999997</v>
      </c>
      <c r="F77" s="65">
        <v>204318.66</v>
      </c>
      <c r="G77" s="81">
        <f t="shared" si="17"/>
        <v>231006.06499999997</v>
      </c>
      <c r="H77" s="65">
        <v>282434.94</v>
      </c>
      <c r="I77" s="65">
        <f t="shared" si="14"/>
        <v>231006.06499999997</v>
      </c>
      <c r="J77" s="107">
        <f t="shared" si="18"/>
        <v>705558.83000000007</v>
      </c>
      <c r="K77" s="107">
        <f t="shared" si="13"/>
        <v>693018.19499999995</v>
      </c>
      <c r="L77" s="28">
        <f t="shared" si="15"/>
        <v>101.8095679291653</v>
      </c>
      <c r="M77" s="107">
        <f>1590487.98+J77</f>
        <v>2296046.81</v>
      </c>
      <c r="N77" s="108">
        <v>2772072.78</v>
      </c>
      <c r="O77" s="110">
        <f t="shared" si="16"/>
        <v>82.827796822852548</v>
      </c>
      <c r="Q77" s="55"/>
      <c r="R77" s="55"/>
      <c r="S77" s="55"/>
    </row>
    <row r="78" spans="1:19" ht="20.100000000000001" customHeight="1" x14ac:dyDescent="0.2">
      <c r="B78" s="102" t="s">
        <v>156</v>
      </c>
      <c r="C78" s="80" t="s">
        <v>176</v>
      </c>
      <c r="D78" s="65">
        <v>862274.9</v>
      </c>
      <c r="E78" s="65">
        <f t="shared" si="12"/>
        <v>857522.08333333337</v>
      </c>
      <c r="F78" s="65">
        <v>753591.41</v>
      </c>
      <c r="G78" s="81">
        <f t="shared" si="17"/>
        <v>857522.08333333337</v>
      </c>
      <c r="H78" s="65">
        <v>831267.15</v>
      </c>
      <c r="I78" s="65">
        <f t="shared" si="14"/>
        <v>857522.08333333337</v>
      </c>
      <c r="J78" s="107">
        <f t="shared" si="18"/>
        <v>2447133.46</v>
      </c>
      <c r="K78" s="107">
        <f t="shared" si="13"/>
        <v>2572566.25</v>
      </c>
      <c r="L78" s="28">
        <f t="shared" si="15"/>
        <v>95.124215362772475</v>
      </c>
      <c r="M78" s="107">
        <f>4791064.22+J78</f>
        <v>7238197.6799999997</v>
      </c>
      <c r="N78" s="108">
        <v>10290265</v>
      </c>
      <c r="O78" s="110">
        <f t="shared" si="16"/>
        <v>70.340245659368335</v>
      </c>
      <c r="Q78" s="55"/>
      <c r="R78" s="55"/>
      <c r="S78" s="55"/>
    </row>
    <row r="79" spans="1:19" ht="20.100000000000001" customHeight="1" x14ac:dyDescent="0.2">
      <c r="A79" s="75"/>
      <c r="B79" s="102" t="s">
        <v>157</v>
      </c>
      <c r="C79" s="80" t="s">
        <v>177</v>
      </c>
      <c r="D79" s="65">
        <v>46835.54</v>
      </c>
      <c r="E79" s="65">
        <f t="shared" si="12"/>
        <v>73197.25</v>
      </c>
      <c r="F79" s="65">
        <v>208968.74</v>
      </c>
      <c r="G79" s="81">
        <f t="shared" si="17"/>
        <v>73197.25</v>
      </c>
      <c r="H79" s="65">
        <v>103160.04</v>
      </c>
      <c r="I79" s="65">
        <f t="shared" si="14"/>
        <v>73197.25</v>
      </c>
      <c r="J79" s="107">
        <f t="shared" si="18"/>
        <v>358964.32</v>
      </c>
      <c r="K79" s="107">
        <f t="shared" si="13"/>
        <v>219591.75</v>
      </c>
      <c r="L79" s="28">
        <f t="shared" si="15"/>
        <v>163.46894635158199</v>
      </c>
      <c r="M79" s="107">
        <f>325719.64+J79</f>
        <v>684683.96</v>
      </c>
      <c r="N79" s="108">
        <v>878367</v>
      </c>
      <c r="O79" s="110">
        <f t="shared" si="16"/>
        <v>77.949645193865436</v>
      </c>
      <c r="Q79" s="55"/>
      <c r="R79" s="55"/>
      <c r="S79" s="55"/>
    </row>
    <row r="80" spans="1:19" ht="20.100000000000001" customHeight="1" x14ac:dyDescent="0.2">
      <c r="B80" s="102" t="s">
        <v>158</v>
      </c>
      <c r="C80" s="80" t="s">
        <v>178</v>
      </c>
      <c r="D80" s="65">
        <v>1677361.45</v>
      </c>
      <c r="E80" s="65">
        <f t="shared" si="12"/>
        <v>2227012.9175</v>
      </c>
      <c r="F80" s="65">
        <v>1413035.71</v>
      </c>
      <c r="G80" s="81">
        <f t="shared" si="17"/>
        <v>2227012.9175</v>
      </c>
      <c r="H80" s="65">
        <v>1583839.72</v>
      </c>
      <c r="I80" s="65">
        <f t="shared" si="14"/>
        <v>2227012.9175</v>
      </c>
      <c r="J80" s="107">
        <f t="shared" si="18"/>
        <v>4674236.88</v>
      </c>
      <c r="K80" s="107">
        <f t="shared" si="13"/>
        <v>6681038.7524999995</v>
      </c>
      <c r="L80" s="28">
        <f t="shared" si="15"/>
        <v>69.962726653111119</v>
      </c>
      <c r="M80" s="107">
        <f>10951827.4+J80</f>
        <v>15626064.280000001</v>
      </c>
      <c r="N80" s="108">
        <v>26724155.010000002</v>
      </c>
      <c r="O80" s="110">
        <f t="shared" si="16"/>
        <v>58.471687034268548</v>
      </c>
      <c r="Q80" s="55"/>
      <c r="R80" s="55"/>
      <c r="S80" s="55"/>
    </row>
    <row r="81" spans="2:19" ht="20.100000000000001" customHeight="1" x14ac:dyDescent="0.2">
      <c r="B81" s="102" t="s">
        <v>159</v>
      </c>
      <c r="C81" s="80" t="s">
        <v>179</v>
      </c>
      <c r="D81" s="65">
        <v>16734.59</v>
      </c>
      <c r="E81" s="65">
        <f t="shared" si="12"/>
        <v>110203.42583333334</v>
      </c>
      <c r="F81" s="65">
        <v>1704.84</v>
      </c>
      <c r="G81" s="81">
        <f t="shared" si="17"/>
        <v>110203.42583333334</v>
      </c>
      <c r="H81" s="65">
        <v>8597.6299999999992</v>
      </c>
      <c r="I81" s="65">
        <f t="shared" si="14"/>
        <v>110203.42583333334</v>
      </c>
      <c r="J81" s="107">
        <f t="shared" si="18"/>
        <v>27037.059999999998</v>
      </c>
      <c r="K81" s="107">
        <f t="shared" si="13"/>
        <v>330610.27750000003</v>
      </c>
      <c r="L81" s="28">
        <f t="shared" si="15"/>
        <v>8.1779248378024167</v>
      </c>
      <c r="M81" s="107">
        <f>1169780.93+J81</f>
        <v>1196817.99</v>
      </c>
      <c r="N81" s="108">
        <v>1322441.1100000001</v>
      </c>
      <c r="O81" s="110">
        <f t="shared" si="16"/>
        <v>90.500664335820588</v>
      </c>
      <c r="Q81" s="55"/>
      <c r="R81" s="55"/>
      <c r="S81" s="55"/>
    </row>
    <row r="82" spans="2:19" ht="20.100000000000001" customHeight="1" x14ac:dyDescent="0.2">
      <c r="B82" s="102" t="s">
        <v>160</v>
      </c>
      <c r="C82" s="80" t="s">
        <v>180</v>
      </c>
      <c r="D82" s="65">
        <v>415550.88</v>
      </c>
      <c r="E82" s="65">
        <f t="shared" si="12"/>
        <v>415939.45750000002</v>
      </c>
      <c r="F82" s="65">
        <v>565124.9</v>
      </c>
      <c r="G82" s="81">
        <f t="shared" si="17"/>
        <v>415939.45750000002</v>
      </c>
      <c r="H82" s="65">
        <v>1108066</v>
      </c>
      <c r="I82" s="65">
        <f>G82</f>
        <v>415939.45750000002</v>
      </c>
      <c r="J82" s="107">
        <f t="shared" si="18"/>
        <v>2088741.78</v>
      </c>
      <c r="K82" s="107">
        <f t="shared" si="13"/>
        <v>1247818.3725000001</v>
      </c>
      <c r="L82" s="28">
        <f t="shared" si="15"/>
        <v>167.39149110420715</v>
      </c>
      <c r="M82" s="107">
        <f>1760780.84+J82</f>
        <v>3849522.62</v>
      </c>
      <c r="N82" s="108">
        <v>4991273.49</v>
      </c>
      <c r="O82" s="110">
        <f t="shared" si="16"/>
        <v>77.125058919582472</v>
      </c>
      <c r="Q82" s="55"/>
      <c r="R82" s="55"/>
      <c r="S82" s="55"/>
    </row>
    <row r="83" spans="2:19" ht="20.100000000000001" customHeight="1" x14ac:dyDescent="0.2">
      <c r="B83" s="102" t="s">
        <v>161</v>
      </c>
      <c r="C83" s="80" t="s">
        <v>181</v>
      </c>
      <c r="D83" s="65">
        <v>0</v>
      </c>
      <c r="E83" s="65">
        <f t="shared" si="12"/>
        <v>6408.333333333333</v>
      </c>
      <c r="F83" s="65">
        <v>0</v>
      </c>
      <c r="G83" s="81">
        <f t="shared" si="17"/>
        <v>6408.333333333333</v>
      </c>
      <c r="H83" s="65">
        <v>20000</v>
      </c>
      <c r="I83" s="65">
        <f t="shared" si="14"/>
        <v>6408.333333333333</v>
      </c>
      <c r="J83" s="107">
        <f t="shared" si="18"/>
        <v>20000</v>
      </c>
      <c r="K83" s="107">
        <f t="shared" si="13"/>
        <v>19225</v>
      </c>
      <c r="L83" s="28">
        <f t="shared" si="15"/>
        <v>104.03120936280885</v>
      </c>
      <c r="M83" s="107">
        <f>0+J83</f>
        <v>20000</v>
      </c>
      <c r="N83" s="108">
        <v>76900</v>
      </c>
      <c r="O83" s="110">
        <f t="shared" si="16"/>
        <v>26.007802340702213</v>
      </c>
      <c r="Q83" s="55"/>
      <c r="R83" s="55"/>
      <c r="S83" s="55"/>
    </row>
    <row r="84" spans="2:19" ht="20.100000000000001" customHeight="1" x14ac:dyDescent="0.2">
      <c r="B84" s="102" t="s">
        <v>162</v>
      </c>
      <c r="C84" s="80" t="s">
        <v>182</v>
      </c>
      <c r="D84" s="65">
        <v>0</v>
      </c>
      <c r="E84" s="65">
        <f t="shared" si="12"/>
        <v>10416.666666666666</v>
      </c>
      <c r="F84" s="65">
        <v>0</v>
      </c>
      <c r="G84" s="81">
        <f t="shared" si="17"/>
        <v>10416.666666666666</v>
      </c>
      <c r="H84" s="65">
        <v>15792</v>
      </c>
      <c r="I84" s="65">
        <f t="shared" si="14"/>
        <v>10416.666666666666</v>
      </c>
      <c r="J84" s="107">
        <f t="shared" si="18"/>
        <v>15792</v>
      </c>
      <c r="K84" s="107">
        <f t="shared" si="13"/>
        <v>31250</v>
      </c>
      <c r="L84" s="28">
        <f t="shared" si="15"/>
        <v>50.534400000000005</v>
      </c>
      <c r="M84" s="107">
        <f>39370.7+J84</f>
        <v>55162.7</v>
      </c>
      <c r="N84" s="108">
        <v>125000</v>
      </c>
      <c r="O84" s="110">
        <f t="shared" si="16"/>
        <v>44.130159999999997</v>
      </c>
      <c r="Q84" s="55"/>
      <c r="R84" s="55"/>
      <c r="S84" s="55"/>
    </row>
    <row r="85" spans="2:19" ht="20.100000000000001" customHeight="1" x14ac:dyDescent="0.2">
      <c r="B85" s="102" t="s">
        <v>163</v>
      </c>
      <c r="C85" s="80" t="s">
        <v>183</v>
      </c>
      <c r="D85" s="65">
        <v>3535800</v>
      </c>
      <c r="E85" s="65">
        <f t="shared" si="12"/>
        <v>906188.98249999993</v>
      </c>
      <c r="F85" s="65">
        <v>236539.42</v>
      </c>
      <c r="G85" s="81">
        <f t="shared" si="17"/>
        <v>906188.98249999993</v>
      </c>
      <c r="H85" s="65">
        <v>5996850.6100000003</v>
      </c>
      <c r="I85" s="65">
        <f t="shared" si="14"/>
        <v>906188.98249999993</v>
      </c>
      <c r="J85" s="107">
        <f t="shared" si="18"/>
        <v>9769190.0300000012</v>
      </c>
      <c r="K85" s="107">
        <f t="shared" si="13"/>
        <v>2718566.9474999998</v>
      </c>
      <c r="L85" s="28">
        <f t="shared" si="15"/>
        <v>359.35072479946723</v>
      </c>
      <c r="M85" s="107">
        <f>946230.59+J85</f>
        <v>10715420.620000001</v>
      </c>
      <c r="N85" s="108">
        <v>10874267.789999999</v>
      </c>
      <c r="O85" s="110">
        <f t="shared" si="16"/>
        <v>98.539238015215375</v>
      </c>
      <c r="Q85" s="55"/>
      <c r="R85" s="55"/>
      <c r="S85" s="55"/>
    </row>
    <row r="86" spans="2:19" ht="20.100000000000001" customHeight="1" x14ac:dyDescent="0.2">
      <c r="B86" s="102" t="s">
        <v>164</v>
      </c>
      <c r="C86" s="80" t="s">
        <v>184</v>
      </c>
      <c r="D86" s="33">
        <v>222752.37</v>
      </c>
      <c r="E86" s="65">
        <f t="shared" si="12"/>
        <v>191294.84916666665</v>
      </c>
      <c r="F86" s="65">
        <v>305467.28000000003</v>
      </c>
      <c r="G86" s="81">
        <f t="shared" si="17"/>
        <v>191294.84916666665</v>
      </c>
      <c r="H86" s="33">
        <v>287568.78000000003</v>
      </c>
      <c r="I86" s="65">
        <f t="shared" si="14"/>
        <v>191294.84916666665</v>
      </c>
      <c r="J86" s="107">
        <f t="shared" si="18"/>
        <v>815788.43</v>
      </c>
      <c r="K86" s="107">
        <f t="shared" si="13"/>
        <v>573884.54749999999</v>
      </c>
      <c r="L86" s="28">
        <f t="shared" si="15"/>
        <v>142.15201185565988</v>
      </c>
      <c r="M86" s="107">
        <f>764373.47+J86</f>
        <v>1580161.9</v>
      </c>
      <c r="N86" s="108">
        <v>2295538.19</v>
      </c>
      <c r="O86" s="110">
        <f t="shared" si="16"/>
        <v>68.836227900002839</v>
      </c>
      <c r="Q86" s="55"/>
      <c r="R86" s="55"/>
      <c r="S86" s="55"/>
    </row>
    <row r="87" spans="2:19" ht="20.100000000000001" customHeight="1" x14ac:dyDescent="0.2">
      <c r="B87" s="102">
        <v>5210</v>
      </c>
      <c r="C87" s="80" t="s">
        <v>189</v>
      </c>
      <c r="D87" s="33">
        <v>4250000</v>
      </c>
      <c r="E87" s="65">
        <f t="shared" si="12"/>
        <v>893458.33333333337</v>
      </c>
      <c r="F87" s="33">
        <v>0</v>
      </c>
      <c r="G87" s="81">
        <f t="shared" si="17"/>
        <v>893458.33333333337</v>
      </c>
      <c r="H87" s="33">
        <v>5221500</v>
      </c>
      <c r="I87" s="65">
        <f>G87</f>
        <v>893458.33333333337</v>
      </c>
      <c r="J87" s="107">
        <f t="shared" si="18"/>
        <v>9471500</v>
      </c>
      <c r="K87" s="107">
        <f t="shared" si="13"/>
        <v>2680375</v>
      </c>
      <c r="L87" s="28">
        <f t="shared" si="15"/>
        <v>353.36473441216248</v>
      </c>
      <c r="M87" s="107">
        <f>250000+J87</f>
        <v>9721500</v>
      </c>
      <c r="N87" s="108">
        <v>10721500</v>
      </c>
      <c r="O87" s="110">
        <f t="shared" si="16"/>
        <v>90.672946882432498</v>
      </c>
      <c r="Q87" s="55"/>
      <c r="R87" s="55"/>
      <c r="S87" s="55"/>
    </row>
    <row r="88" spans="2:19" ht="20.100000000000001" customHeight="1" x14ac:dyDescent="0.2">
      <c r="B88" s="102">
        <v>5243</v>
      </c>
      <c r="C88" s="80" t="s">
        <v>190</v>
      </c>
      <c r="D88" s="33">
        <v>1312229.6100000001</v>
      </c>
      <c r="E88" s="65">
        <f t="shared" si="12"/>
        <v>1449558.7149999999</v>
      </c>
      <c r="F88" s="33">
        <v>4829341.58</v>
      </c>
      <c r="G88" s="81">
        <f t="shared" si="17"/>
        <v>1449558.7149999999</v>
      </c>
      <c r="H88" s="33">
        <v>3556922.69</v>
      </c>
      <c r="I88" s="65">
        <f t="shared" si="14"/>
        <v>1449558.7149999999</v>
      </c>
      <c r="J88" s="107">
        <f t="shared" si="18"/>
        <v>9698493.8800000008</v>
      </c>
      <c r="K88" s="107">
        <f t="shared" si="13"/>
        <v>4348676.1449999996</v>
      </c>
      <c r="L88" s="28">
        <f t="shared" si="15"/>
        <v>223.02175550945748</v>
      </c>
      <c r="M88" s="107">
        <f>3752301.56+J88</f>
        <v>13450795.440000001</v>
      </c>
      <c r="N88" s="108">
        <v>17394704.579999998</v>
      </c>
      <c r="O88" s="110">
        <f t="shared" si="16"/>
        <v>77.326955327918554</v>
      </c>
      <c r="Q88" s="55"/>
      <c r="R88" s="55"/>
      <c r="S88" s="55"/>
    </row>
    <row r="89" spans="2:19" ht="20.100000000000001" customHeight="1" x14ac:dyDescent="0.2">
      <c r="B89" s="102">
        <v>5251</v>
      </c>
      <c r="C89" s="80" t="s">
        <v>50</v>
      </c>
      <c r="D89" s="33">
        <v>288136.94</v>
      </c>
      <c r="E89" s="65">
        <f t="shared" si="12"/>
        <v>308333.33333333331</v>
      </c>
      <c r="F89" s="33">
        <v>307559.8</v>
      </c>
      <c r="G89" s="81">
        <f t="shared" si="17"/>
        <v>308333.33333333331</v>
      </c>
      <c r="H89" s="33">
        <v>294586.56</v>
      </c>
      <c r="I89" s="65">
        <f t="shared" si="14"/>
        <v>308333.33333333331</v>
      </c>
      <c r="J89" s="107">
        <f t="shared" si="18"/>
        <v>890283.3</v>
      </c>
      <c r="K89" s="107">
        <f t="shared" si="13"/>
        <v>925000</v>
      </c>
      <c r="L89" s="28">
        <f t="shared" si="15"/>
        <v>96.246843243243248</v>
      </c>
      <c r="M89" s="107">
        <f>1564054.4+J89</f>
        <v>2454337.7000000002</v>
      </c>
      <c r="N89" s="108">
        <v>3700000</v>
      </c>
      <c r="O89" s="110">
        <f t="shared" si="16"/>
        <v>66.333451351351357</v>
      </c>
      <c r="Q89" s="55"/>
      <c r="R89" s="55"/>
      <c r="S89" s="55"/>
    </row>
    <row r="90" spans="2:19" ht="20.100000000000001" customHeight="1" x14ac:dyDescent="0.2">
      <c r="B90" s="102">
        <v>5100</v>
      </c>
      <c r="C90" s="80" t="s">
        <v>602</v>
      </c>
      <c r="D90" s="33">
        <v>26162.639999999999</v>
      </c>
      <c r="E90" s="65">
        <f t="shared" si="12"/>
        <v>24766.755000000001</v>
      </c>
      <c r="F90" s="33">
        <v>240341.53</v>
      </c>
      <c r="G90" s="81">
        <f t="shared" si="17"/>
        <v>24766.755000000001</v>
      </c>
      <c r="H90" s="33">
        <v>0</v>
      </c>
      <c r="I90" s="65">
        <f t="shared" si="14"/>
        <v>24766.755000000001</v>
      </c>
      <c r="J90" s="107">
        <f t="shared" si="18"/>
        <v>266504.17</v>
      </c>
      <c r="K90" s="107">
        <f t="shared" si="13"/>
        <v>74300.264999999999</v>
      </c>
      <c r="L90" s="28">
        <f t="shared" si="15"/>
        <v>358.68535596743834</v>
      </c>
      <c r="M90" s="107">
        <f>0+J90</f>
        <v>266504.17</v>
      </c>
      <c r="N90" s="108">
        <v>297201.06</v>
      </c>
      <c r="O90" s="110">
        <f t="shared" si="16"/>
        <v>89.671338991859585</v>
      </c>
      <c r="Q90" s="55"/>
      <c r="R90" s="55"/>
      <c r="S90" s="55"/>
    </row>
    <row r="91" spans="2:19" ht="20.100000000000001" customHeight="1" x14ac:dyDescent="0.2">
      <c r="B91" s="102">
        <v>5300</v>
      </c>
      <c r="C91" s="80" t="s">
        <v>191</v>
      </c>
      <c r="D91" s="33">
        <v>0</v>
      </c>
      <c r="E91" s="65">
        <f t="shared" si="12"/>
        <v>2500</v>
      </c>
      <c r="F91" s="33">
        <v>0</v>
      </c>
      <c r="G91" s="81">
        <f t="shared" si="17"/>
        <v>2500</v>
      </c>
      <c r="H91" s="33">
        <v>0</v>
      </c>
      <c r="I91" s="65">
        <f t="shared" si="14"/>
        <v>2500</v>
      </c>
      <c r="J91" s="107">
        <f t="shared" si="18"/>
        <v>0</v>
      </c>
      <c r="K91" s="107">
        <f t="shared" si="13"/>
        <v>7500</v>
      </c>
      <c r="L91" s="28">
        <f t="shared" si="15"/>
        <v>0</v>
      </c>
      <c r="M91" s="107">
        <f>0+J91</f>
        <v>0</v>
      </c>
      <c r="N91" s="108">
        <v>30000</v>
      </c>
      <c r="O91" s="110">
        <v>0</v>
      </c>
      <c r="Q91" s="55"/>
      <c r="R91" s="55"/>
      <c r="S91" s="55"/>
    </row>
    <row r="92" spans="2:19" ht="20.100000000000001" customHeight="1" x14ac:dyDescent="0.2">
      <c r="B92" s="102">
        <v>5400</v>
      </c>
      <c r="C92" s="80" t="s">
        <v>567</v>
      </c>
      <c r="D92" s="33">
        <v>1257000</v>
      </c>
      <c r="E92" s="65">
        <f t="shared" si="12"/>
        <v>285342.66666666669</v>
      </c>
      <c r="F92" s="33">
        <v>0</v>
      </c>
      <c r="G92" s="81">
        <f t="shared" si="17"/>
        <v>285342.66666666669</v>
      </c>
      <c r="H92" s="33">
        <v>0</v>
      </c>
      <c r="I92" s="65">
        <f t="shared" si="14"/>
        <v>285342.66666666669</v>
      </c>
      <c r="J92" s="107">
        <f t="shared" si="18"/>
        <v>1257000</v>
      </c>
      <c r="K92" s="107">
        <f t="shared" si="13"/>
        <v>856028</v>
      </c>
      <c r="L92" s="28">
        <f t="shared" si="15"/>
        <v>146.84099118253141</v>
      </c>
      <c r="M92" s="107">
        <f>2167112+J92</f>
        <v>3424112</v>
      </c>
      <c r="N92" s="108">
        <v>3424112</v>
      </c>
      <c r="O92" s="110"/>
      <c r="Q92" s="55"/>
      <c r="R92" s="55"/>
      <c r="S92" s="55"/>
    </row>
    <row r="93" spans="2:19" ht="20.100000000000001" customHeight="1" x14ac:dyDescent="0.2">
      <c r="B93" s="102">
        <v>5600</v>
      </c>
      <c r="C93" s="80" t="s">
        <v>568</v>
      </c>
      <c r="D93" s="33">
        <v>493580</v>
      </c>
      <c r="E93" s="65">
        <f t="shared" si="12"/>
        <v>42631.666666666664</v>
      </c>
      <c r="F93" s="33">
        <v>0</v>
      </c>
      <c r="G93" s="81">
        <f t="shared" si="17"/>
        <v>42631.666666666664</v>
      </c>
      <c r="H93" s="33">
        <v>6832.4</v>
      </c>
      <c r="I93" s="65">
        <f t="shared" si="14"/>
        <v>42631.666666666664</v>
      </c>
      <c r="J93" s="107">
        <f t="shared" si="18"/>
        <v>500412.4</v>
      </c>
      <c r="K93" s="107">
        <f t="shared" si="13"/>
        <v>127895</v>
      </c>
      <c r="L93" s="28">
        <f t="shared" si="15"/>
        <v>391.26814965401309</v>
      </c>
      <c r="M93" s="107">
        <f>8671+J93</f>
        <v>509083.4</v>
      </c>
      <c r="N93" s="108">
        <v>511580</v>
      </c>
      <c r="O93" s="110"/>
      <c r="Q93" s="55"/>
      <c r="R93" s="55"/>
      <c r="S93" s="55"/>
    </row>
    <row r="94" spans="2:19" ht="20.100000000000001" customHeight="1" x14ac:dyDescent="0.2">
      <c r="B94" s="102">
        <v>6100</v>
      </c>
      <c r="C94" s="80" t="s">
        <v>192</v>
      </c>
      <c r="D94" s="33">
        <v>127148.15</v>
      </c>
      <c r="E94" s="65">
        <f t="shared" si="12"/>
        <v>1097549.9324999999</v>
      </c>
      <c r="F94" s="33">
        <v>0</v>
      </c>
      <c r="G94" s="81">
        <f t="shared" si="17"/>
        <v>1097549.9324999999</v>
      </c>
      <c r="H94" s="33">
        <v>1082067.6200000001</v>
      </c>
      <c r="I94" s="65">
        <f t="shared" si="14"/>
        <v>1097549.9324999999</v>
      </c>
      <c r="J94" s="107">
        <f t="shared" si="18"/>
        <v>1209215.77</v>
      </c>
      <c r="K94" s="107">
        <f t="shared" si="13"/>
        <v>3292649.7974999994</v>
      </c>
      <c r="L94" s="28">
        <f t="shared" si="15"/>
        <v>36.724700298164649</v>
      </c>
      <c r="M94" s="107">
        <f>120940.15+J94</f>
        <v>1330155.92</v>
      </c>
      <c r="N94" s="108">
        <v>13170599.189999999</v>
      </c>
      <c r="O94" s="110">
        <f t="shared" si="16"/>
        <v>10.099433600636358</v>
      </c>
      <c r="Q94" s="55"/>
      <c r="R94" s="55"/>
      <c r="S94" s="55"/>
    </row>
    <row r="95" spans="2:19" ht="20.100000000000001" customHeight="1" x14ac:dyDescent="0.2">
      <c r="B95" s="102">
        <v>6200</v>
      </c>
      <c r="C95" s="80" t="s">
        <v>569</v>
      </c>
      <c r="D95" s="33">
        <v>1282204.6499999999</v>
      </c>
      <c r="E95" s="65">
        <f t="shared" si="12"/>
        <v>1024470.6066666666</v>
      </c>
      <c r="F95" s="33">
        <v>403424.23</v>
      </c>
      <c r="G95" s="81">
        <f t="shared" si="17"/>
        <v>1024470.6066666666</v>
      </c>
      <c r="H95" s="33">
        <v>3834321.7</v>
      </c>
      <c r="I95" s="65">
        <f t="shared" si="14"/>
        <v>1024470.6066666666</v>
      </c>
      <c r="J95" s="107">
        <f t="shared" si="18"/>
        <v>5519950.5800000001</v>
      </c>
      <c r="K95" s="107">
        <f t="shared" si="13"/>
        <v>3073411.82</v>
      </c>
      <c r="L95" s="28">
        <f t="shared" si="15"/>
        <v>179.60334973918336</v>
      </c>
      <c r="M95" s="107">
        <f>5929325.88+J95</f>
        <v>11449276.460000001</v>
      </c>
      <c r="N95" s="108">
        <v>12293647.279999999</v>
      </c>
      <c r="O95" s="110"/>
      <c r="Q95" s="55"/>
      <c r="R95" s="55"/>
      <c r="S95" s="55"/>
    </row>
    <row r="96" spans="2:19" ht="20.100000000000001" customHeight="1" x14ac:dyDescent="0.2">
      <c r="B96" s="102">
        <v>8500</v>
      </c>
      <c r="C96" s="80" t="s">
        <v>143</v>
      </c>
      <c r="D96" s="33">
        <v>0</v>
      </c>
      <c r="E96" s="65">
        <f t="shared" si="12"/>
        <v>159826.56416666668</v>
      </c>
      <c r="F96" s="33">
        <v>0</v>
      </c>
      <c r="G96" s="81">
        <f t="shared" si="17"/>
        <v>159826.56416666668</v>
      </c>
      <c r="H96" s="33">
        <v>0</v>
      </c>
      <c r="I96" s="65">
        <f>G96</f>
        <v>159826.56416666668</v>
      </c>
      <c r="J96" s="109">
        <f t="shared" si="18"/>
        <v>0</v>
      </c>
      <c r="K96" s="109">
        <f t="shared" si="13"/>
        <v>479479.6925</v>
      </c>
      <c r="L96" s="28">
        <f t="shared" si="15"/>
        <v>0</v>
      </c>
      <c r="M96" s="107">
        <f>1917918.77+J96</f>
        <v>1917918.77</v>
      </c>
      <c r="N96" s="108">
        <v>1917918.77</v>
      </c>
      <c r="O96" s="110">
        <f t="shared" si="16"/>
        <v>100</v>
      </c>
      <c r="Q96" s="55"/>
      <c r="R96" s="55"/>
      <c r="S96" s="55"/>
    </row>
    <row r="97" spans="1:20" ht="20.100000000000001" customHeight="1" thickBot="1" x14ac:dyDescent="0.25">
      <c r="B97" s="9"/>
      <c r="C97" s="10"/>
      <c r="D97" s="26"/>
      <c r="E97" s="26"/>
      <c r="F97" s="26"/>
      <c r="G97" s="26"/>
      <c r="H97" s="26"/>
      <c r="I97" s="27"/>
      <c r="J97" s="34"/>
      <c r="K97" s="26"/>
      <c r="L97" s="30"/>
      <c r="M97" s="37"/>
      <c r="N97" s="70"/>
      <c r="O97" s="30"/>
      <c r="P97" s="23"/>
      <c r="Q97" s="72"/>
      <c r="R97" s="14"/>
      <c r="S97" s="14"/>
    </row>
    <row r="98" spans="1:20" ht="12.75" thickTop="1" thickBot="1" x14ac:dyDescent="0.25">
      <c r="D98" s="35"/>
      <c r="E98" s="35"/>
      <c r="F98" s="35"/>
      <c r="G98" s="35"/>
      <c r="H98" s="35"/>
      <c r="I98" s="35"/>
      <c r="J98" s="35"/>
      <c r="K98" s="35"/>
      <c r="L98" s="31"/>
      <c r="M98" s="35"/>
      <c r="N98" s="35"/>
      <c r="O98" s="104"/>
    </row>
    <row r="99" spans="1:20" ht="21.75" customHeight="1" thickBot="1" x14ac:dyDescent="0.25">
      <c r="B99" s="14"/>
      <c r="C99" s="15" t="s">
        <v>20</v>
      </c>
      <c r="D99" s="36">
        <f t="shared" ref="D99:I99" si="19">SUM(D64:D98)</f>
        <v>26274319.419999998</v>
      </c>
      <c r="E99" s="36">
        <f t="shared" si="19"/>
        <v>21489412.684166666</v>
      </c>
      <c r="F99" s="36">
        <f t="shared" si="19"/>
        <v>19223946.210000005</v>
      </c>
      <c r="G99" s="36">
        <f t="shared" si="19"/>
        <v>21489412.684166666</v>
      </c>
      <c r="H99" s="36">
        <f t="shared" si="19"/>
        <v>39853261.530000001</v>
      </c>
      <c r="I99" s="36">
        <f t="shared" si="19"/>
        <v>21489412.684166666</v>
      </c>
      <c r="J99" s="36">
        <f>SUM(J64:J96)</f>
        <v>85351527.160000011</v>
      </c>
      <c r="K99" s="36">
        <f>SUM(K64:K98)</f>
        <v>64468238.052499995</v>
      </c>
      <c r="L99" s="63">
        <f>J99/K99*100</f>
        <v>132.39314387728979</v>
      </c>
      <c r="M99" s="36">
        <f>SUM(M64:M97)</f>
        <v>185868725.11999997</v>
      </c>
      <c r="N99" s="36">
        <f>SUM(N64:N97)</f>
        <v>268568145.56999999</v>
      </c>
      <c r="O99" s="105">
        <f>M99/N99*100</f>
        <v>69.207286190072338</v>
      </c>
      <c r="P99" s="60"/>
      <c r="Q99" s="143"/>
    </row>
    <row r="100" spans="1:20" ht="24" customHeight="1" thickTop="1" thickBot="1" x14ac:dyDescent="0.2">
      <c r="B100" s="145" t="s">
        <v>22</v>
      </c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7"/>
    </row>
    <row r="101" spans="1:20" ht="41.25" customHeight="1" thickTop="1" thickBot="1" x14ac:dyDescent="0.2">
      <c r="B101" s="148" t="s">
        <v>10</v>
      </c>
      <c r="C101" s="149"/>
      <c r="D101" s="4" t="s">
        <v>11</v>
      </c>
      <c r="E101" s="4" t="str">
        <f>E62</f>
        <v>JULIO</v>
      </c>
      <c r="F101" s="4" t="s">
        <v>11</v>
      </c>
      <c r="G101" s="4" t="str">
        <f>G62</f>
        <v>AGOSTO</v>
      </c>
      <c r="H101" s="4" t="s">
        <v>11</v>
      </c>
      <c r="I101" s="4" t="str">
        <f>I62</f>
        <v>SEPTIEMBRE</v>
      </c>
      <c r="J101" s="150" t="s">
        <v>12</v>
      </c>
      <c r="K101" s="151"/>
      <c r="L101" s="11" t="s">
        <v>13</v>
      </c>
      <c r="M101" s="152" t="s">
        <v>14</v>
      </c>
      <c r="N101" s="153"/>
      <c r="O101" s="13" t="s">
        <v>13</v>
      </c>
      <c r="Q101" s="60"/>
    </row>
    <row r="102" spans="1:20" ht="57" customHeight="1" thickBot="1" x14ac:dyDescent="0.2">
      <c r="B102" s="7" t="s">
        <v>15</v>
      </c>
      <c r="C102" s="2" t="s">
        <v>16</v>
      </c>
      <c r="D102" s="88" t="s">
        <v>17</v>
      </c>
      <c r="E102" s="2" t="s">
        <v>18</v>
      </c>
      <c r="F102" s="73" t="s">
        <v>17</v>
      </c>
      <c r="G102" s="2" t="s">
        <v>18</v>
      </c>
      <c r="H102" s="73" t="s">
        <v>17</v>
      </c>
      <c r="I102" s="2" t="s">
        <v>18</v>
      </c>
      <c r="J102" s="73" t="s">
        <v>17</v>
      </c>
      <c r="K102" s="2" t="s">
        <v>18</v>
      </c>
      <c r="L102" s="12" t="s">
        <v>19</v>
      </c>
      <c r="M102" s="74" t="s">
        <v>17</v>
      </c>
      <c r="N102" s="2" t="s">
        <v>18</v>
      </c>
      <c r="O102" s="8" t="s">
        <v>23</v>
      </c>
      <c r="P102" s="3"/>
      <c r="Q102" s="3"/>
      <c r="R102" s="3"/>
      <c r="S102" s="3"/>
      <c r="T102" s="3"/>
    </row>
    <row r="103" spans="1:20" ht="20.100000000000001" customHeight="1" x14ac:dyDescent="0.2">
      <c r="A103" s="1">
        <v>1</v>
      </c>
      <c r="B103" s="114"/>
      <c r="C103" s="91" t="s">
        <v>496</v>
      </c>
      <c r="D103" s="90">
        <v>14509425.449999999</v>
      </c>
      <c r="E103" s="65">
        <f>N103/12</f>
        <v>10946466.979166666</v>
      </c>
      <c r="F103" s="90">
        <v>9296244.1799999997</v>
      </c>
      <c r="G103" s="65">
        <f t="shared" ref="G103:G133" si="20">E103</f>
        <v>10946466.979166666</v>
      </c>
      <c r="H103" s="90">
        <v>18502536.010000002</v>
      </c>
      <c r="I103" s="65">
        <f>G103</f>
        <v>10946466.979166666</v>
      </c>
      <c r="J103" s="66">
        <f t="shared" ref="J103:K103" si="21">+D103+F103+H103</f>
        <v>42308205.640000001</v>
      </c>
      <c r="K103" s="33">
        <f t="shared" si="21"/>
        <v>32839400.9375</v>
      </c>
      <c r="L103" s="67">
        <f>+J103/K103*100</f>
        <v>128.83367062791751</v>
      </c>
      <c r="M103" s="66">
        <f>56543982.92+J103</f>
        <v>98852188.560000002</v>
      </c>
      <c r="N103" s="82">
        <v>131357603.75</v>
      </c>
      <c r="O103" s="83">
        <f>M103/N103*100</f>
        <v>75.254256881950781</v>
      </c>
      <c r="P103" s="60"/>
      <c r="Q103" s="55"/>
      <c r="R103" s="55"/>
      <c r="S103" s="55"/>
    </row>
    <row r="104" spans="1:20" ht="20.100000000000001" customHeight="1" x14ac:dyDescent="0.25">
      <c r="A104" s="1">
        <v>2</v>
      </c>
      <c r="B104" s="112" t="s">
        <v>197</v>
      </c>
      <c r="C104" s="80" t="s">
        <v>497</v>
      </c>
      <c r="D104" s="33"/>
      <c r="E104" s="65">
        <f t="shared" ref="E104:E168" si="22">N104/12</f>
        <v>11833.333333333334</v>
      </c>
      <c r="F104" s="65">
        <v>10871.52</v>
      </c>
      <c r="G104" s="65">
        <f t="shared" si="20"/>
        <v>11833.333333333334</v>
      </c>
      <c r="H104" s="65">
        <v>858.4</v>
      </c>
      <c r="I104" s="81">
        <f t="shared" ref="I104:I168" si="23">G104</f>
        <v>11833.333333333334</v>
      </c>
      <c r="J104" s="66">
        <f t="shared" ref="J104:J116" si="24">+D104+F104+H104</f>
        <v>11729.92</v>
      </c>
      <c r="K104" s="33">
        <f t="shared" ref="K104:K130" si="25">+E104+G104+I104</f>
        <v>35500</v>
      </c>
      <c r="L104" s="67">
        <f t="shared" ref="L104:L168" si="26">+J104/K104*100</f>
        <v>33.042028169014088</v>
      </c>
      <c r="M104" s="66">
        <f>14368.78+J104</f>
        <v>26098.7</v>
      </c>
      <c r="N104" s="82">
        <v>142000</v>
      </c>
      <c r="O104" s="83">
        <f t="shared" ref="O104:O168" si="27">M104/N104*100</f>
        <v>18.379366197183099</v>
      </c>
      <c r="P104" s="60"/>
      <c r="Q104" s="144"/>
      <c r="R104" s="55"/>
      <c r="S104" s="55"/>
    </row>
    <row r="105" spans="1:20" ht="20.100000000000001" customHeight="1" x14ac:dyDescent="0.25">
      <c r="A105" s="1">
        <v>3</v>
      </c>
      <c r="B105" s="113" t="s">
        <v>376</v>
      </c>
      <c r="C105" s="80" t="s">
        <v>498</v>
      </c>
      <c r="D105" s="33"/>
      <c r="E105" s="65">
        <f t="shared" si="22"/>
        <v>4666.666666666667</v>
      </c>
      <c r="F105" s="65">
        <v>16679.18</v>
      </c>
      <c r="G105" s="65">
        <f t="shared" si="20"/>
        <v>4666.666666666667</v>
      </c>
      <c r="H105" s="65">
        <v>4576.6499999999996</v>
      </c>
      <c r="I105" s="81">
        <f t="shared" si="23"/>
        <v>4666.666666666667</v>
      </c>
      <c r="J105" s="66">
        <f t="shared" si="24"/>
        <v>21255.83</v>
      </c>
      <c r="K105" s="33">
        <f t="shared" si="25"/>
        <v>14000</v>
      </c>
      <c r="L105" s="67">
        <f t="shared" si="26"/>
        <v>151.82735714285715</v>
      </c>
      <c r="M105" s="66">
        <f>0+J105</f>
        <v>21255.83</v>
      </c>
      <c r="N105" s="82">
        <v>56000</v>
      </c>
      <c r="O105" s="83">
        <f t="shared" si="27"/>
        <v>37.956839285714288</v>
      </c>
      <c r="P105" s="60"/>
      <c r="Q105" s="144"/>
      <c r="R105" s="55"/>
      <c r="S105" s="55"/>
    </row>
    <row r="106" spans="1:20" ht="20.100000000000001" customHeight="1" x14ac:dyDescent="0.25">
      <c r="A106" s="1">
        <v>4</v>
      </c>
      <c r="B106" s="113" t="s">
        <v>377</v>
      </c>
      <c r="C106" s="80" t="s">
        <v>499</v>
      </c>
      <c r="D106" s="33"/>
      <c r="E106" s="65">
        <f t="shared" si="22"/>
        <v>0</v>
      </c>
      <c r="F106" s="65">
        <v>0</v>
      </c>
      <c r="G106" s="65">
        <f t="shared" si="20"/>
        <v>0</v>
      </c>
      <c r="H106" s="65">
        <v>0</v>
      </c>
      <c r="I106" s="81">
        <f t="shared" si="23"/>
        <v>0</v>
      </c>
      <c r="J106" s="66">
        <f t="shared" si="24"/>
        <v>0</v>
      </c>
      <c r="K106" s="33">
        <f t="shared" si="25"/>
        <v>0</v>
      </c>
      <c r="L106" s="67" t="e">
        <f t="shared" si="26"/>
        <v>#DIV/0!</v>
      </c>
      <c r="M106" s="66">
        <f>0+J106</f>
        <v>0</v>
      </c>
      <c r="N106" s="82">
        <v>0</v>
      </c>
      <c r="O106" s="83" t="e">
        <f t="shared" si="27"/>
        <v>#DIV/0!</v>
      </c>
      <c r="P106" s="60"/>
      <c r="Q106" s="144"/>
      <c r="R106" s="55"/>
      <c r="S106" s="55"/>
    </row>
    <row r="107" spans="1:20" ht="20.100000000000001" customHeight="1" x14ac:dyDescent="0.25">
      <c r="A107" s="1">
        <v>5</v>
      </c>
      <c r="B107" s="113" t="s">
        <v>378</v>
      </c>
      <c r="C107" s="80" t="s">
        <v>500</v>
      </c>
      <c r="D107" s="33"/>
      <c r="E107" s="65">
        <f t="shared" si="22"/>
        <v>1145.8333333333333</v>
      </c>
      <c r="F107" s="65">
        <v>0</v>
      </c>
      <c r="G107" s="65">
        <f t="shared" si="20"/>
        <v>1145.8333333333333</v>
      </c>
      <c r="H107" s="65">
        <v>0</v>
      </c>
      <c r="I107" s="81">
        <f t="shared" si="23"/>
        <v>1145.8333333333333</v>
      </c>
      <c r="J107" s="66">
        <f t="shared" si="24"/>
        <v>0</v>
      </c>
      <c r="K107" s="33">
        <f t="shared" si="25"/>
        <v>3437.5</v>
      </c>
      <c r="L107" s="67">
        <f t="shared" si="26"/>
        <v>0</v>
      </c>
      <c r="M107" s="66">
        <f>139.78+J107</f>
        <v>139.78</v>
      </c>
      <c r="N107" s="82">
        <v>13750</v>
      </c>
      <c r="O107" s="83">
        <v>0</v>
      </c>
      <c r="P107" s="60"/>
      <c r="Q107" s="144"/>
      <c r="R107" s="55"/>
      <c r="S107" s="55"/>
    </row>
    <row r="108" spans="1:20" ht="20.100000000000001" customHeight="1" x14ac:dyDescent="0.25">
      <c r="A108" s="1">
        <v>6</v>
      </c>
      <c r="B108" s="113" t="s">
        <v>198</v>
      </c>
      <c r="C108" s="80" t="s">
        <v>501</v>
      </c>
      <c r="D108" s="33">
        <v>898</v>
      </c>
      <c r="E108" s="65">
        <f t="shared" si="22"/>
        <v>350</v>
      </c>
      <c r="F108" s="65">
        <v>2924.76</v>
      </c>
      <c r="G108" s="65">
        <f t="shared" si="20"/>
        <v>350</v>
      </c>
      <c r="H108" s="65">
        <v>0</v>
      </c>
      <c r="I108" s="81">
        <f t="shared" si="23"/>
        <v>350</v>
      </c>
      <c r="J108" s="66">
        <f t="shared" si="24"/>
        <v>3822.76</v>
      </c>
      <c r="K108" s="33">
        <f t="shared" si="25"/>
        <v>1050</v>
      </c>
      <c r="L108" s="67">
        <f t="shared" si="26"/>
        <v>364.07238095238097</v>
      </c>
      <c r="M108" s="66">
        <f>0+J108</f>
        <v>3822.76</v>
      </c>
      <c r="N108" s="82">
        <v>4200</v>
      </c>
      <c r="O108" s="83">
        <v>0</v>
      </c>
      <c r="P108" s="60"/>
      <c r="Q108" s="144"/>
      <c r="R108" s="55"/>
      <c r="S108" s="55"/>
    </row>
    <row r="109" spans="1:20" ht="20.100000000000001" customHeight="1" x14ac:dyDescent="0.25">
      <c r="A109" s="1">
        <v>7</v>
      </c>
      <c r="B109" s="113" t="s">
        <v>502</v>
      </c>
      <c r="C109" s="80" t="s">
        <v>503</v>
      </c>
      <c r="D109" s="33"/>
      <c r="E109" s="65">
        <f t="shared" si="22"/>
        <v>750</v>
      </c>
      <c r="F109" s="35">
        <v>0</v>
      </c>
      <c r="G109" s="65">
        <f t="shared" si="20"/>
        <v>750</v>
      </c>
      <c r="H109" s="65">
        <v>0</v>
      </c>
      <c r="I109" s="81">
        <f t="shared" si="23"/>
        <v>750</v>
      </c>
      <c r="J109" s="66">
        <f t="shared" si="24"/>
        <v>0</v>
      </c>
      <c r="K109" s="33">
        <f t="shared" si="25"/>
        <v>2250</v>
      </c>
      <c r="L109" s="67">
        <f t="shared" si="26"/>
        <v>0</v>
      </c>
      <c r="M109" s="66">
        <f>6394.38+J109</f>
        <v>6394.38</v>
      </c>
      <c r="N109" s="82">
        <v>9000</v>
      </c>
      <c r="O109" s="83">
        <f t="shared" si="27"/>
        <v>71.048666666666676</v>
      </c>
      <c r="P109" s="60"/>
      <c r="Q109" s="144"/>
      <c r="R109" s="55"/>
      <c r="S109" s="55"/>
    </row>
    <row r="110" spans="1:20" ht="20.100000000000001" customHeight="1" x14ac:dyDescent="0.25">
      <c r="A110" s="1">
        <v>8</v>
      </c>
      <c r="B110" s="113" t="s">
        <v>504</v>
      </c>
      <c r="C110" s="80" t="s">
        <v>505</v>
      </c>
      <c r="D110" s="33"/>
      <c r="E110" s="65">
        <f t="shared" si="22"/>
        <v>333.33333333333331</v>
      </c>
      <c r="F110" s="65">
        <v>0</v>
      </c>
      <c r="G110" s="65">
        <f t="shared" si="20"/>
        <v>333.33333333333331</v>
      </c>
      <c r="H110" s="65">
        <v>0</v>
      </c>
      <c r="I110" s="81">
        <f t="shared" si="23"/>
        <v>333.33333333333331</v>
      </c>
      <c r="J110" s="66">
        <f t="shared" si="24"/>
        <v>0</v>
      </c>
      <c r="K110" s="33">
        <f t="shared" si="25"/>
        <v>1000</v>
      </c>
      <c r="L110" s="67">
        <f t="shared" si="26"/>
        <v>0</v>
      </c>
      <c r="M110" s="66">
        <f>1972.99+J110</f>
        <v>1972.99</v>
      </c>
      <c r="N110" s="82">
        <v>4000</v>
      </c>
      <c r="O110" s="83">
        <v>0</v>
      </c>
      <c r="P110" s="60"/>
      <c r="Q110" s="144"/>
      <c r="R110" s="55"/>
      <c r="S110" s="55"/>
    </row>
    <row r="111" spans="1:20" ht="20.100000000000001" customHeight="1" x14ac:dyDescent="0.25">
      <c r="A111" s="1">
        <v>9</v>
      </c>
      <c r="B111" s="113" t="s">
        <v>506</v>
      </c>
      <c r="C111" s="80" t="s">
        <v>507</v>
      </c>
      <c r="D111" s="33"/>
      <c r="E111" s="65">
        <f t="shared" si="22"/>
        <v>3533.3333333333335</v>
      </c>
      <c r="F111" s="65">
        <v>0</v>
      </c>
      <c r="G111" s="65">
        <f t="shared" si="20"/>
        <v>3533.3333333333335</v>
      </c>
      <c r="H111" s="65">
        <v>0</v>
      </c>
      <c r="I111" s="81">
        <f t="shared" si="23"/>
        <v>3533.3333333333335</v>
      </c>
      <c r="J111" s="66">
        <f t="shared" si="24"/>
        <v>0</v>
      </c>
      <c r="K111" s="33">
        <f t="shared" si="25"/>
        <v>10600</v>
      </c>
      <c r="L111" s="67">
        <f t="shared" si="26"/>
        <v>0</v>
      </c>
      <c r="M111" s="66">
        <f>35859.29+J111</f>
        <v>35859.29</v>
      </c>
      <c r="N111" s="82">
        <v>42400</v>
      </c>
      <c r="O111" s="83">
        <f t="shared" si="27"/>
        <v>84.573797169811328</v>
      </c>
      <c r="P111" s="60"/>
      <c r="Q111" s="144"/>
      <c r="R111" s="55"/>
      <c r="S111" s="55"/>
    </row>
    <row r="112" spans="1:20" ht="20.100000000000001" customHeight="1" x14ac:dyDescent="0.25">
      <c r="B112" s="113" t="s">
        <v>570</v>
      </c>
      <c r="C112" s="80" t="s">
        <v>571</v>
      </c>
      <c r="D112" s="33">
        <v>493580</v>
      </c>
      <c r="E112" s="65">
        <f t="shared" si="22"/>
        <v>221724.33333333334</v>
      </c>
      <c r="F112" s="65">
        <v>0</v>
      </c>
      <c r="G112" s="65">
        <f t="shared" si="20"/>
        <v>221724.33333333334</v>
      </c>
      <c r="H112" s="65">
        <v>0</v>
      </c>
      <c r="I112" s="81">
        <f t="shared" si="23"/>
        <v>221724.33333333334</v>
      </c>
      <c r="J112" s="66">
        <f t="shared" si="24"/>
        <v>493580</v>
      </c>
      <c r="K112" s="33">
        <f t="shared" si="25"/>
        <v>665173</v>
      </c>
      <c r="L112" s="67">
        <f t="shared" si="26"/>
        <v>74.20325238697302</v>
      </c>
      <c r="M112" s="66">
        <f>2167112+J112</f>
        <v>2660692</v>
      </c>
      <c r="N112" s="82">
        <v>2660692</v>
      </c>
      <c r="O112" s="83">
        <f t="shared" si="27"/>
        <v>100</v>
      </c>
      <c r="P112" s="60"/>
      <c r="Q112" s="144"/>
      <c r="R112" s="55"/>
      <c r="S112" s="55"/>
    </row>
    <row r="113" spans="1:19" ht="20.100000000000001" customHeight="1" x14ac:dyDescent="0.25">
      <c r="B113" s="113" t="s">
        <v>572</v>
      </c>
      <c r="C113" s="80" t="s">
        <v>573</v>
      </c>
      <c r="D113" s="33"/>
      <c r="E113" s="65">
        <f t="shared" si="22"/>
        <v>554888.75</v>
      </c>
      <c r="F113" s="65">
        <v>0</v>
      </c>
      <c r="G113" s="65">
        <f t="shared" si="20"/>
        <v>554888.75</v>
      </c>
      <c r="H113" s="65">
        <v>0</v>
      </c>
      <c r="I113" s="81">
        <f t="shared" si="23"/>
        <v>554888.75</v>
      </c>
      <c r="J113" s="66">
        <f t="shared" si="24"/>
        <v>0</v>
      </c>
      <c r="K113" s="33">
        <f t="shared" si="25"/>
        <v>1664666.25</v>
      </c>
      <c r="L113" s="67">
        <f t="shared" si="26"/>
        <v>0</v>
      </c>
      <c r="M113" s="66">
        <f>6658665+J113</f>
        <v>6658665</v>
      </c>
      <c r="N113" s="82">
        <v>6658665</v>
      </c>
      <c r="O113" s="83">
        <f t="shared" si="27"/>
        <v>100</v>
      </c>
      <c r="P113" s="60"/>
      <c r="Q113" s="144"/>
      <c r="R113" s="55"/>
      <c r="S113" s="55"/>
    </row>
    <row r="114" spans="1:19" ht="20.100000000000001" customHeight="1" x14ac:dyDescent="0.25">
      <c r="B114" s="113" t="s">
        <v>574</v>
      </c>
      <c r="C114" s="80" t="s">
        <v>575</v>
      </c>
      <c r="D114" s="33"/>
      <c r="E114" s="65">
        <f t="shared" si="22"/>
        <v>1250</v>
      </c>
      <c r="F114" s="65">
        <v>0</v>
      </c>
      <c r="G114" s="65">
        <f t="shared" si="20"/>
        <v>1250</v>
      </c>
      <c r="H114" s="65">
        <v>0</v>
      </c>
      <c r="I114" s="81">
        <f t="shared" si="23"/>
        <v>1250</v>
      </c>
      <c r="J114" s="66">
        <f t="shared" si="24"/>
        <v>0</v>
      </c>
      <c r="K114" s="33">
        <f t="shared" si="25"/>
        <v>3750</v>
      </c>
      <c r="L114" s="67">
        <f t="shared" si="26"/>
        <v>0</v>
      </c>
      <c r="M114" s="66">
        <f>0+J114</f>
        <v>0</v>
      </c>
      <c r="N114" s="82">
        <v>15000</v>
      </c>
      <c r="O114" s="83">
        <f t="shared" si="27"/>
        <v>0</v>
      </c>
      <c r="P114" s="60"/>
      <c r="Q114" s="144"/>
      <c r="R114" s="55"/>
      <c r="S114" s="55"/>
    </row>
    <row r="115" spans="1:19" ht="20.100000000000001" customHeight="1" x14ac:dyDescent="0.25">
      <c r="B115" s="113" t="s">
        <v>603</v>
      </c>
      <c r="C115" s="80" t="s">
        <v>604</v>
      </c>
      <c r="D115" s="33"/>
      <c r="E115" s="65">
        <f t="shared" si="22"/>
        <v>129022.25</v>
      </c>
      <c r="F115" s="65">
        <v>0</v>
      </c>
      <c r="G115" s="65">
        <f t="shared" si="20"/>
        <v>129022.25</v>
      </c>
      <c r="H115" s="65">
        <v>0</v>
      </c>
      <c r="I115" s="81">
        <f t="shared" si="23"/>
        <v>129022.25</v>
      </c>
      <c r="J115" s="66">
        <f t="shared" si="24"/>
        <v>0</v>
      </c>
      <c r="K115" s="33">
        <f t="shared" si="25"/>
        <v>387066.75</v>
      </c>
      <c r="L115" s="67">
        <f t="shared" si="26"/>
        <v>0</v>
      </c>
      <c r="M115" s="66">
        <f>0+J115</f>
        <v>0</v>
      </c>
      <c r="N115" s="82">
        <v>1548267</v>
      </c>
      <c r="O115" s="83">
        <f t="shared" si="27"/>
        <v>0</v>
      </c>
      <c r="P115" s="60"/>
      <c r="Q115" s="144"/>
      <c r="R115" s="55"/>
      <c r="S115" s="55"/>
    </row>
    <row r="116" spans="1:19" ht="20.100000000000001" customHeight="1" x14ac:dyDescent="0.25">
      <c r="A116" s="1">
        <v>10</v>
      </c>
      <c r="B116" s="113" t="s">
        <v>24</v>
      </c>
      <c r="C116" s="80" t="s">
        <v>508</v>
      </c>
      <c r="D116" s="33"/>
      <c r="E116" s="65">
        <f t="shared" si="22"/>
        <v>3175.3333333333335</v>
      </c>
      <c r="F116" s="65">
        <v>0</v>
      </c>
      <c r="G116" s="65">
        <f t="shared" si="20"/>
        <v>3175.3333333333335</v>
      </c>
      <c r="H116" s="65">
        <v>0</v>
      </c>
      <c r="I116" s="81">
        <f>G116</f>
        <v>3175.3333333333335</v>
      </c>
      <c r="J116" s="66">
        <f t="shared" si="24"/>
        <v>0</v>
      </c>
      <c r="K116" s="33">
        <f t="shared" si="25"/>
        <v>9526</v>
      </c>
      <c r="L116" s="67">
        <f t="shared" si="26"/>
        <v>0</v>
      </c>
      <c r="M116" s="66">
        <f>38104+J116</f>
        <v>38104</v>
      </c>
      <c r="N116" s="82">
        <v>38104</v>
      </c>
      <c r="O116" s="83">
        <v>0</v>
      </c>
      <c r="P116" s="60"/>
      <c r="Q116" s="144"/>
      <c r="R116" s="55"/>
      <c r="S116" s="55"/>
    </row>
    <row r="117" spans="1:19" ht="20.100000000000001" customHeight="1" x14ac:dyDescent="0.25">
      <c r="A117" s="1">
        <v>11</v>
      </c>
      <c r="B117" s="113" t="s">
        <v>199</v>
      </c>
      <c r="C117" s="80" t="s">
        <v>509</v>
      </c>
      <c r="D117" s="33"/>
      <c r="E117" s="65">
        <f t="shared" si="22"/>
        <v>4166.666666666667</v>
      </c>
      <c r="F117" s="65">
        <v>0</v>
      </c>
      <c r="G117" s="65">
        <f t="shared" si="20"/>
        <v>4166.666666666667</v>
      </c>
      <c r="H117" s="65">
        <v>50000</v>
      </c>
      <c r="I117" s="81">
        <f t="shared" si="23"/>
        <v>4166.666666666667</v>
      </c>
      <c r="J117" s="66">
        <f t="shared" ref="J117:J168" si="28">+D117+F117+H117</f>
        <v>50000</v>
      </c>
      <c r="K117" s="33">
        <f t="shared" si="25"/>
        <v>12500</v>
      </c>
      <c r="L117" s="67">
        <f t="shared" si="26"/>
        <v>400</v>
      </c>
      <c r="M117" s="66">
        <f>0+J117</f>
        <v>50000</v>
      </c>
      <c r="N117" s="82">
        <v>50000</v>
      </c>
      <c r="O117" s="83">
        <f t="shared" si="27"/>
        <v>100</v>
      </c>
      <c r="P117" s="60"/>
      <c r="Q117" s="144"/>
      <c r="R117" s="55"/>
      <c r="S117" s="55"/>
    </row>
    <row r="118" spans="1:19" ht="20.100000000000001" customHeight="1" x14ac:dyDescent="0.25">
      <c r="A118" s="1">
        <v>12</v>
      </c>
      <c r="B118" s="113" t="s">
        <v>25</v>
      </c>
      <c r="C118" s="80" t="s">
        <v>510</v>
      </c>
      <c r="D118" s="33"/>
      <c r="E118" s="65">
        <f t="shared" si="22"/>
        <v>6783.2</v>
      </c>
      <c r="F118" s="65">
        <v>0</v>
      </c>
      <c r="G118" s="65">
        <f t="shared" si="20"/>
        <v>6783.2</v>
      </c>
      <c r="H118" s="65">
        <v>0</v>
      </c>
      <c r="I118" s="81">
        <f t="shared" si="23"/>
        <v>6783.2</v>
      </c>
      <c r="J118" s="66">
        <f t="shared" si="28"/>
        <v>0</v>
      </c>
      <c r="K118" s="33">
        <f t="shared" si="25"/>
        <v>20349.599999999999</v>
      </c>
      <c r="L118" s="67">
        <f t="shared" si="26"/>
        <v>0</v>
      </c>
      <c r="M118" s="66">
        <f>81398.4+J118</f>
        <v>81398.399999999994</v>
      </c>
      <c r="N118" s="82">
        <v>81398.399999999994</v>
      </c>
      <c r="O118" s="83">
        <f t="shared" si="27"/>
        <v>100</v>
      </c>
      <c r="P118" s="60"/>
      <c r="Q118" s="144"/>
      <c r="R118" s="55"/>
      <c r="S118" s="55"/>
    </row>
    <row r="119" spans="1:19" ht="20.100000000000001" customHeight="1" x14ac:dyDescent="0.25">
      <c r="A119" s="1">
        <v>13</v>
      </c>
      <c r="B119" s="113" t="s">
        <v>200</v>
      </c>
      <c r="C119" s="80" t="s">
        <v>511</v>
      </c>
      <c r="D119" s="33"/>
      <c r="E119" s="65">
        <f t="shared" si="22"/>
        <v>38062.200000000004</v>
      </c>
      <c r="F119" s="65">
        <v>0</v>
      </c>
      <c r="G119" s="65">
        <f t="shared" si="20"/>
        <v>38062.200000000004</v>
      </c>
      <c r="H119" s="65">
        <v>0</v>
      </c>
      <c r="I119" s="81">
        <f t="shared" si="23"/>
        <v>38062.200000000004</v>
      </c>
      <c r="J119" s="66">
        <f t="shared" si="28"/>
        <v>0</v>
      </c>
      <c r="K119" s="33">
        <f t="shared" si="25"/>
        <v>114186.6</v>
      </c>
      <c r="L119" s="67">
        <f t="shared" si="26"/>
        <v>0</v>
      </c>
      <c r="M119" s="66">
        <f>456746.4+J119</f>
        <v>456746.4</v>
      </c>
      <c r="N119" s="82">
        <v>456746.4</v>
      </c>
      <c r="O119" s="83">
        <f t="shared" si="27"/>
        <v>100</v>
      </c>
      <c r="P119" s="60"/>
      <c r="Q119" s="144"/>
      <c r="R119" s="55"/>
      <c r="S119" s="55"/>
    </row>
    <row r="120" spans="1:19" ht="20.100000000000001" customHeight="1" x14ac:dyDescent="0.25">
      <c r="A120" s="1">
        <v>14</v>
      </c>
      <c r="B120" s="113" t="s">
        <v>26</v>
      </c>
      <c r="C120" s="80" t="s">
        <v>512</v>
      </c>
      <c r="D120" s="33">
        <v>27631.200000000001</v>
      </c>
      <c r="E120" s="65">
        <f t="shared" si="22"/>
        <v>2916.6666666666665</v>
      </c>
      <c r="F120" s="65">
        <v>0</v>
      </c>
      <c r="G120" s="65">
        <f t="shared" si="20"/>
        <v>2916.6666666666665</v>
      </c>
      <c r="H120" s="65">
        <v>0</v>
      </c>
      <c r="I120" s="81">
        <f t="shared" si="23"/>
        <v>2916.6666666666665</v>
      </c>
      <c r="J120" s="66">
        <f t="shared" si="28"/>
        <v>27631.200000000001</v>
      </c>
      <c r="K120" s="33">
        <f t="shared" si="25"/>
        <v>8750</v>
      </c>
      <c r="L120" s="67">
        <f t="shared" si="26"/>
        <v>315.78514285714283</v>
      </c>
      <c r="M120" s="66">
        <f>6493.5+J120</f>
        <v>34124.699999999997</v>
      </c>
      <c r="N120" s="82">
        <v>35000</v>
      </c>
      <c r="O120" s="83">
        <v>0</v>
      </c>
      <c r="P120" s="60"/>
      <c r="Q120" s="144"/>
      <c r="R120" s="55"/>
      <c r="S120" s="55"/>
    </row>
    <row r="121" spans="1:19" ht="20.100000000000001" customHeight="1" x14ac:dyDescent="0.25">
      <c r="A121" s="1">
        <v>15</v>
      </c>
      <c r="B121" s="113" t="s">
        <v>201</v>
      </c>
      <c r="C121" s="80" t="s">
        <v>513</v>
      </c>
      <c r="D121" s="33"/>
      <c r="E121" s="65">
        <f t="shared" si="22"/>
        <v>15833.333333333334</v>
      </c>
      <c r="F121" s="65">
        <v>71508</v>
      </c>
      <c r="G121" s="65">
        <f t="shared" si="20"/>
        <v>15833.333333333334</v>
      </c>
      <c r="H121" s="65">
        <v>114608</v>
      </c>
      <c r="I121" s="81">
        <f t="shared" si="23"/>
        <v>15833.333333333334</v>
      </c>
      <c r="J121" s="66">
        <f t="shared" si="28"/>
        <v>186116</v>
      </c>
      <c r="K121" s="33">
        <f t="shared" si="25"/>
        <v>47500</v>
      </c>
      <c r="L121" s="67">
        <f t="shared" si="26"/>
        <v>391.82315789473682</v>
      </c>
      <c r="M121" s="66">
        <f>0+J121</f>
        <v>186116</v>
      </c>
      <c r="N121" s="82">
        <v>190000</v>
      </c>
      <c r="O121" s="83">
        <f t="shared" si="27"/>
        <v>97.955789473684206</v>
      </c>
      <c r="P121" s="60"/>
      <c r="Q121" s="144"/>
      <c r="R121" s="55"/>
      <c r="S121" s="55"/>
    </row>
    <row r="122" spans="1:19" ht="20.100000000000001" customHeight="1" x14ac:dyDescent="0.25">
      <c r="A122" s="1">
        <v>16</v>
      </c>
      <c r="B122" s="113" t="s">
        <v>27</v>
      </c>
      <c r="C122" s="80" t="s">
        <v>514</v>
      </c>
      <c r="D122" s="33"/>
      <c r="E122" s="65">
        <f t="shared" si="22"/>
        <v>1666.6666666666667</v>
      </c>
      <c r="F122" s="65">
        <v>0</v>
      </c>
      <c r="G122" s="65">
        <f t="shared" si="20"/>
        <v>1666.6666666666667</v>
      </c>
      <c r="H122" s="65">
        <v>0</v>
      </c>
      <c r="I122" s="81">
        <f t="shared" si="23"/>
        <v>1666.6666666666667</v>
      </c>
      <c r="J122" s="66">
        <f t="shared" si="28"/>
        <v>0</v>
      </c>
      <c r="K122" s="33">
        <f t="shared" si="25"/>
        <v>5000</v>
      </c>
      <c r="L122" s="67">
        <f t="shared" si="26"/>
        <v>0</v>
      </c>
      <c r="M122" s="66">
        <f>17411.6+J122</f>
        <v>17411.599999999999</v>
      </c>
      <c r="N122" s="82">
        <v>20000</v>
      </c>
      <c r="O122" s="83">
        <f t="shared" si="27"/>
        <v>87.057999999999993</v>
      </c>
      <c r="P122" s="60"/>
      <c r="Q122" s="144"/>
      <c r="R122" s="55"/>
      <c r="S122" s="55"/>
    </row>
    <row r="123" spans="1:19" ht="20.100000000000001" customHeight="1" x14ac:dyDescent="0.25">
      <c r="A123" s="1">
        <v>17</v>
      </c>
      <c r="B123" s="113" t="s">
        <v>28</v>
      </c>
      <c r="C123" s="80" t="s">
        <v>515</v>
      </c>
      <c r="D123" s="33"/>
      <c r="E123" s="65">
        <f t="shared" si="22"/>
        <v>7066.333333333333</v>
      </c>
      <c r="F123" s="65">
        <v>0</v>
      </c>
      <c r="G123" s="65">
        <f t="shared" si="20"/>
        <v>7066.333333333333</v>
      </c>
      <c r="H123" s="65">
        <v>0</v>
      </c>
      <c r="I123" s="81">
        <f t="shared" si="23"/>
        <v>7066.333333333333</v>
      </c>
      <c r="J123" s="66">
        <f t="shared" si="28"/>
        <v>0</v>
      </c>
      <c r="K123" s="33">
        <f t="shared" si="25"/>
        <v>21199</v>
      </c>
      <c r="L123" s="67">
        <f t="shared" si="26"/>
        <v>0</v>
      </c>
      <c r="M123" s="66">
        <f>84796+J123</f>
        <v>84796</v>
      </c>
      <c r="N123" s="82">
        <v>84796</v>
      </c>
      <c r="O123" s="83">
        <f t="shared" si="27"/>
        <v>100</v>
      </c>
      <c r="P123" s="60"/>
      <c r="Q123" s="144"/>
      <c r="R123" s="55"/>
      <c r="S123" s="55"/>
    </row>
    <row r="124" spans="1:19" ht="20.100000000000001" customHeight="1" x14ac:dyDescent="0.25">
      <c r="A124" s="1">
        <v>18</v>
      </c>
      <c r="B124" s="113" t="s">
        <v>202</v>
      </c>
      <c r="C124" s="80" t="s">
        <v>516</v>
      </c>
      <c r="D124" s="33"/>
      <c r="E124" s="65">
        <f t="shared" si="22"/>
        <v>250</v>
      </c>
      <c r="F124" s="65">
        <v>0</v>
      </c>
      <c r="G124" s="65">
        <f t="shared" si="20"/>
        <v>250</v>
      </c>
      <c r="H124" s="65">
        <v>0</v>
      </c>
      <c r="I124" s="81">
        <f t="shared" si="23"/>
        <v>250</v>
      </c>
      <c r="J124" s="66">
        <f t="shared" si="28"/>
        <v>0</v>
      </c>
      <c r="K124" s="33">
        <f t="shared" si="25"/>
        <v>750</v>
      </c>
      <c r="L124" s="67">
        <f t="shared" si="26"/>
        <v>0</v>
      </c>
      <c r="M124" s="66">
        <f>0+J124</f>
        <v>0</v>
      </c>
      <c r="N124" s="82">
        <v>3000</v>
      </c>
      <c r="O124" s="83">
        <f t="shared" si="27"/>
        <v>0</v>
      </c>
      <c r="P124" s="60"/>
      <c r="Q124" s="144"/>
      <c r="R124" s="55"/>
      <c r="S124" s="55"/>
    </row>
    <row r="125" spans="1:19" ht="20.100000000000001" customHeight="1" x14ac:dyDescent="0.25">
      <c r="A125" s="1">
        <v>19</v>
      </c>
      <c r="B125" s="113" t="s">
        <v>517</v>
      </c>
      <c r="C125" s="80" t="s">
        <v>566</v>
      </c>
      <c r="D125" s="33">
        <v>50000</v>
      </c>
      <c r="E125" s="65">
        <f t="shared" si="22"/>
        <v>4166.666666666667</v>
      </c>
      <c r="F125" s="65">
        <v>0</v>
      </c>
      <c r="G125" s="65">
        <f t="shared" si="20"/>
        <v>4166.666666666667</v>
      </c>
      <c r="H125" s="65">
        <v>0</v>
      </c>
      <c r="I125" s="81">
        <f t="shared" si="23"/>
        <v>4166.666666666667</v>
      </c>
      <c r="J125" s="66">
        <f t="shared" si="28"/>
        <v>50000</v>
      </c>
      <c r="K125" s="33">
        <f t="shared" si="25"/>
        <v>12500</v>
      </c>
      <c r="L125" s="67">
        <f t="shared" si="26"/>
        <v>400</v>
      </c>
      <c r="M125" s="66">
        <f>0+J125</f>
        <v>50000</v>
      </c>
      <c r="N125" s="82">
        <v>50000</v>
      </c>
      <c r="O125" s="83">
        <f t="shared" si="27"/>
        <v>100</v>
      </c>
      <c r="P125" s="60"/>
      <c r="Q125" s="144"/>
      <c r="R125" s="55"/>
      <c r="S125" s="55"/>
    </row>
    <row r="126" spans="1:19" ht="20.100000000000001" customHeight="1" x14ac:dyDescent="0.25">
      <c r="A126" s="1">
        <v>20</v>
      </c>
      <c r="B126" s="113" t="s">
        <v>29</v>
      </c>
      <c r="C126" s="80" t="s">
        <v>518</v>
      </c>
      <c r="D126" s="33"/>
      <c r="E126" s="65">
        <f t="shared" si="22"/>
        <v>83.333333333333329</v>
      </c>
      <c r="F126" s="65">
        <v>0</v>
      </c>
      <c r="G126" s="65">
        <f t="shared" si="20"/>
        <v>83.333333333333329</v>
      </c>
      <c r="H126" s="81">
        <v>0</v>
      </c>
      <c r="I126" s="81">
        <f t="shared" si="23"/>
        <v>83.333333333333329</v>
      </c>
      <c r="J126" s="66">
        <f t="shared" si="28"/>
        <v>0</v>
      </c>
      <c r="K126" s="33">
        <f t="shared" si="25"/>
        <v>250</v>
      </c>
      <c r="L126" s="67"/>
      <c r="M126" s="66">
        <f>0+J126</f>
        <v>0</v>
      </c>
      <c r="N126" s="82">
        <v>1000</v>
      </c>
      <c r="O126" s="83"/>
      <c r="P126" s="60"/>
      <c r="Q126" s="144"/>
      <c r="R126" s="55"/>
      <c r="S126" s="55"/>
    </row>
    <row r="127" spans="1:19" ht="20.100000000000001" customHeight="1" x14ac:dyDescent="0.25">
      <c r="A127" s="1">
        <v>21</v>
      </c>
      <c r="B127" s="113" t="s">
        <v>203</v>
      </c>
      <c r="C127" s="80" t="s">
        <v>519</v>
      </c>
      <c r="D127" s="33"/>
      <c r="E127" s="65">
        <f t="shared" si="22"/>
        <v>42666.666666666664</v>
      </c>
      <c r="F127" s="65">
        <v>0</v>
      </c>
      <c r="G127" s="65">
        <f t="shared" si="20"/>
        <v>42666.666666666664</v>
      </c>
      <c r="H127" s="81">
        <v>511989.2</v>
      </c>
      <c r="I127" s="81">
        <f>G127</f>
        <v>42666.666666666664</v>
      </c>
      <c r="J127" s="66">
        <f t="shared" si="28"/>
        <v>511989.2</v>
      </c>
      <c r="K127" s="33">
        <f t="shared" si="25"/>
        <v>128000</v>
      </c>
      <c r="L127" s="67">
        <f t="shared" si="26"/>
        <v>399.99156250000004</v>
      </c>
      <c r="M127" s="66">
        <f>0+J127</f>
        <v>511989.2</v>
      </c>
      <c r="N127" s="82">
        <v>512000</v>
      </c>
      <c r="O127" s="83">
        <f t="shared" si="27"/>
        <v>99.997890625000011</v>
      </c>
      <c r="P127" s="60"/>
      <c r="Q127" s="144"/>
      <c r="R127" s="55"/>
      <c r="S127" s="55"/>
    </row>
    <row r="128" spans="1:19" ht="20.100000000000001" customHeight="1" x14ac:dyDescent="0.25">
      <c r="A128" s="1">
        <v>22</v>
      </c>
      <c r="B128" s="113" t="s">
        <v>30</v>
      </c>
      <c r="C128" s="80" t="s">
        <v>520</v>
      </c>
      <c r="D128" s="33"/>
      <c r="E128" s="65">
        <f t="shared" si="22"/>
        <v>518.16666666666663</v>
      </c>
      <c r="F128" s="65">
        <v>0</v>
      </c>
      <c r="G128" s="65">
        <f t="shared" si="20"/>
        <v>518.16666666666663</v>
      </c>
      <c r="H128" s="81">
        <v>0</v>
      </c>
      <c r="I128" s="81">
        <f t="shared" si="23"/>
        <v>518.16666666666663</v>
      </c>
      <c r="J128" s="66">
        <f t="shared" si="28"/>
        <v>0</v>
      </c>
      <c r="K128" s="33">
        <f t="shared" si="25"/>
        <v>1554.5</v>
      </c>
      <c r="L128" s="67">
        <f t="shared" si="26"/>
        <v>0</v>
      </c>
      <c r="M128" s="66">
        <f>6218+J128</f>
        <v>6218</v>
      </c>
      <c r="N128" s="82">
        <v>6218</v>
      </c>
      <c r="O128" s="83">
        <v>0</v>
      </c>
      <c r="P128" s="60"/>
      <c r="Q128" s="144"/>
      <c r="R128" s="55"/>
      <c r="S128" s="55"/>
    </row>
    <row r="129" spans="1:19" ht="20.100000000000001" customHeight="1" x14ac:dyDescent="0.25">
      <c r="A129" s="1">
        <v>23</v>
      </c>
      <c r="B129" s="113" t="s">
        <v>204</v>
      </c>
      <c r="C129" s="80" t="s">
        <v>521</v>
      </c>
      <c r="D129" s="33">
        <v>41470</v>
      </c>
      <c r="E129" s="65">
        <f t="shared" si="22"/>
        <v>19174.605</v>
      </c>
      <c r="F129" s="65">
        <v>9396</v>
      </c>
      <c r="G129" s="65">
        <f t="shared" si="20"/>
        <v>19174.605</v>
      </c>
      <c r="H129" s="81">
        <v>0</v>
      </c>
      <c r="I129" s="81">
        <f t="shared" si="23"/>
        <v>19174.605</v>
      </c>
      <c r="J129" s="66">
        <f t="shared" si="28"/>
        <v>50866</v>
      </c>
      <c r="K129" s="33">
        <f t="shared" si="25"/>
        <v>57523.815000000002</v>
      </c>
      <c r="L129" s="67">
        <f t="shared" si="26"/>
        <v>88.425984959446794</v>
      </c>
      <c r="M129" s="66">
        <f>171345.25+J129</f>
        <v>222211.25</v>
      </c>
      <c r="N129" s="82">
        <v>230095.26</v>
      </c>
      <c r="O129" s="83">
        <v>0</v>
      </c>
      <c r="P129" s="60"/>
      <c r="Q129" s="144"/>
      <c r="R129" s="55"/>
      <c r="S129" s="55"/>
    </row>
    <row r="130" spans="1:19" ht="20.100000000000001" customHeight="1" x14ac:dyDescent="0.25">
      <c r="A130" s="1">
        <v>24</v>
      </c>
      <c r="B130" s="113" t="s">
        <v>205</v>
      </c>
      <c r="C130" s="80" t="s">
        <v>522</v>
      </c>
      <c r="D130" s="33">
        <v>97389.8</v>
      </c>
      <c r="E130" s="65">
        <f t="shared" si="22"/>
        <v>12366.666666666666</v>
      </c>
      <c r="F130" s="65">
        <v>8352</v>
      </c>
      <c r="G130" s="65">
        <f t="shared" si="20"/>
        <v>12366.666666666666</v>
      </c>
      <c r="H130" s="81">
        <v>928</v>
      </c>
      <c r="I130" s="81">
        <f t="shared" si="23"/>
        <v>12366.666666666666</v>
      </c>
      <c r="J130" s="66">
        <f t="shared" si="28"/>
        <v>106669.8</v>
      </c>
      <c r="K130" s="33">
        <f t="shared" si="25"/>
        <v>37100</v>
      </c>
      <c r="L130" s="67">
        <f t="shared" si="26"/>
        <v>287.51967654986521</v>
      </c>
      <c r="M130" s="66">
        <f>37732.28+J130</f>
        <v>144402.08000000002</v>
      </c>
      <c r="N130" s="82">
        <v>148400</v>
      </c>
      <c r="O130" s="83">
        <f t="shared" si="27"/>
        <v>97.305983827493264</v>
      </c>
      <c r="P130" s="60"/>
      <c r="Q130" s="144"/>
      <c r="R130" s="55"/>
      <c r="S130" s="55"/>
    </row>
    <row r="131" spans="1:19" ht="20.100000000000001" customHeight="1" x14ac:dyDescent="0.25">
      <c r="A131" s="1">
        <v>25</v>
      </c>
      <c r="B131" s="113" t="s">
        <v>31</v>
      </c>
      <c r="C131" s="80" t="s">
        <v>523</v>
      </c>
      <c r="D131" s="33"/>
      <c r="E131" s="65">
        <f t="shared" si="22"/>
        <v>8333.3333333333339</v>
      </c>
      <c r="F131" s="65">
        <v>0</v>
      </c>
      <c r="G131" s="65">
        <f t="shared" si="20"/>
        <v>8333.3333333333339</v>
      </c>
      <c r="H131" s="81">
        <v>0</v>
      </c>
      <c r="I131" s="81">
        <f t="shared" si="23"/>
        <v>8333.3333333333339</v>
      </c>
      <c r="J131" s="66">
        <f t="shared" si="28"/>
        <v>0</v>
      </c>
      <c r="K131" s="33">
        <f t="shared" ref="K131:K168" si="29">+E131+G131+I131</f>
        <v>25000</v>
      </c>
      <c r="L131" s="67">
        <f t="shared" si="26"/>
        <v>0</v>
      </c>
      <c r="M131" s="66">
        <f>0+J131</f>
        <v>0</v>
      </c>
      <c r="N131" s="82">
        <v>100000</v>
      </c>
      <c r="O131" s="83">
        <f t="shared" si="27"/>
        <v>0</v>
      </c>
      <c r="P131" s="60"/>
      <c r="Q131" s="144"/>
      <c r="R131" s="55"/>
      <c r="S131" s="55"/>
    </row>
    <row r="132" spans="1:19" ht="20.100000000000001" customHeight="1" x14ac:dyDescent="0.25">
      <c r="A132" s="1">
        <v>26</v>
      </c>
      <c r="B132" s="113" t="s">
        <v>32</v>
      </c>
      <c r="C132" s="80" t="s">
        <v>524</v>
      </c>
      <c r="D132" s="33"/>
      <c r="E132" s="65">
        <f t="shared" si="22"/>
        <v>4166.666666666667</v>
      </c>
      <c r="F132" s="65">
        <v>0</v>
      </c>
      <c r="G132" s="65">
        <f t="shared" si="20"/>
        <v>4166.666666666667</v>
      </c>
      <c r="H132" s="81">
        <v>0</v>
      </c>
      <c r="I132" s="81">
        <f t="shared" si="23"/>
        <v>4166.666666666667</v>
      </c>
      <c r="J132" s="66">
        <f t="shared" si="28"/>
        <v>0</v>
      </c>
      <c r="K132" s="33">
        <f t="shared" si="29"/>
        <v>12500</v>
      </c>
      <c r="L132" s="67">
        <f t="shared" si="26"/>
        <v>0</v>
      </c>
      <c r="M132" s="66">
        <f>0+J132</f>
        <v>0</v>
      </c>
      <c r="N132" s="82">
        <v>50000</v>
      </c>
      <c r="O132" s="83">
        <v>0</v>
      </c>
      <c r="P132" s="60"/>
      <c r="Q132" s="144"/>
      <c r="R132" s="55"/>
      <c r="S132" s="55"/>
    </row>
    <row r="133" spans="1:19" ht="20.100000000000001" customHeight="1" x14ac:dyDescent="0.25">
      <c r="A133" s="1">
        <v>27</v>
      </c>
      <c r="B133" s="113" t="s">
        <v>33</v>
      </c>
      <c r="C133" s="80" t="s">
        <v>525</v>
      </c>
      <c r="D133" s="33"/>
      <c r="E133" s="65">
        <f t="shared" si="22"/>
        <v>833.33333333333337</v>
      </c>
      <c r="F133" s="65">
        <v>0</v>
      </c>
      <c r="G133" s="65">
        <f t="shared" si="20"/>
        <v>833.33333333333337</v>
      </c>
      <c r="H133" s="81">
        <v>0</v>
      </c>
      <c r="I133" s="81">
        <f t="shared" si="23"/>
        <v>833.33333333333337</v>
      </c>
      <c r="J133" s="66">
        <f t="shared" si="28"/>
        <v>0</v>
      </c>
      <c r="K133" s="33">
        <f t="shared" si="29"/>
        <v>2500</v>
      </c>
      <c r="L133" s="67">
        <f t="shared" si="26"/>
        <v>0</v>
      </c>
      <c r="M133" s="66">
        <f>7934.4+J133</f>
        <v>7934.4</v>
      </c>
      <c r="N133" s="82">
        <v>10000</v>
      </c>
      <c r="O133" s="83">
        <f t="shared" si="27"/>
        <v>79.343999999999994</v>
      </c>
      <c r="P133" s="60"/>
      <c r="Q133" s="144"/>
      <c r="R133" s="55"/>
      <c r="S133" s="55"/>
    </row>
    <row r="134" spans="1:19" ht="20.100000000000001" customHeight="1" x14ac:dyDescent="0.25">
      <c r="A134" s="1">
        <v>28</v>
      </c>
      <c r="B134" s="113" t="s">
        <v>34</v>
      </c>
      <c r="C134" s="80" t="s">
        <v>605</v>
      </c>
      <c r="D134" s="33">
        <v>3480005.8</v>
      </c>
      <c r="E134" s="65">
        <f t="shared" si="22"/>
        <v>708333.33333333337</v>
      </c>
      <c r="F134" s="35">
        <v>0</v>
      </c>
      <c r="G134" s="65">
        <f t="shared" ref="G134:G168" si="30">E134</f>
        <v>708333.33333333337</v>
      </c>
      <c r="H134" s="65">
        <v>5149561.2</v>
      </c>
      <c r="I134" s="81">
        <f t="shared" si="23"/>
        <v>708333.33333333337</v>
      </c>
      <c r="J134" s="66">
        <f t="shared" si="28"/>
        <v>8629567</v>
      </c>
      <c r="K134" s="33">
        <f t="shared" si="29"/>
        <v>2125000</v>
      </c>
      <c r="L134" s="67">
        <f t="shared" si="26"/>
        <v>406.09727058823529</v>
      </c>
      <c r="M134" s="66">
        <f>0+J134</f>
        <v>8629567</v>
      </c>
      <c r="N134" s="82">
        <v>8500000</v>
      </c>
      <c r="O134" s="83">
        <f t="shared" si="27"/>
        <v>101.52431764705882</v>
      </c>
      <c r="P134" s="60"/>
      <c r="Q134" s="144"/>
      <c r="R134" s="55"/>
      <c r="S134" s="55"/>
    </row>
    <row r="135" spans="1:19" ht="20.100000000000001" customHeight="1" x14ac:dyDescent="0.25">
      <c r="B135" s="113" t="s">
        <v>206</v>
      </c>
      <c r="C135" s="80" t="s">
        <v>606</v>
      </c>
      <c r="D135" s="33"/>
      <c r="E135" s="65">
        <f t="shared" si="22"/>
        <v>50.776666666666671</v>
      </c>
      <c r="F135" s="35">
        <v>0</v>
      </c>
      <c r="G135" s="65">
        <f t="shared" si="30"/>
        <v>50.776666666666671</v>
      </c>
      <c r="H135" s="33">
        <v>0</v>
      </c>
      <c r="I135" s="81">
        <f t="shared" si="23"/>
        <v>50.776666666666671</v>
      </c>
      <c r="J135" s="66">
        <f t="shared" si="28"/>
        <v>0</v>
      </c>
      <c r="K135" s="33">
        <f t="shared" si="29"/>
        <v>152.33000000000001</v>
      </c>
      <c r="L135" s="67"/>
      <c r="M135" s="66">
        <f>609.32+J135</f>
        <v>609.32000000000005</v>
      </c>
      <c r="N135" s="82">
        <v>609.32000000000005</v>
      </c>
      <c r="O135" s="83">
        <f t="shared" si="27"/>
        <v>100</v>
      </c>
      <c r="P135" s="60"/>
      <c r="Q135" s="144"/>
      <c r="R135" s="55"/>
      <c r="S135" s="55"/>
    </row>
    <row r="136" spans="1:19" ht="20.100000000000001" customHeight="1" x14ac:dyDescent="0.25">
      <c r="A136" s="1">
        <v>29</v>
      </c>
      <c r="B136" s="113" t="s">
        <v>49</v>
      </c>
      <c r="C136" s="80" t="s">
        <v>50</v>
      </c>
      <c r="D136" s="33">
        <v>1135313.04</v>
      </c>
      <c r="E136" s="65">
        <f t="shared" si="22"/>
        <v>1327690.6666666667</v>
      </c>
      <c r="F136" s="65">
        <v>1138059.52</v>
      </c>
      <c r="G136" s="65">
        <f t="shared" si="30"/>
        <v>1327690.6666666667</v>
      </c>
      <c r="H136" s="33">
        <v>1163781.3400000001</v>
      </c>
      <c r="I136" s="81">
        <f t="shared" si="23"/>
        <v>1327690.6666666667</v>
      </c>
      <c r="J136" s="66">
        <f t="shared" si="28"/>
        <v>3437153.9000000004</v>
      </c>
      <c r="K136" s="33">
        <f t="shared" si="29"/>
        <v>3983072</v>
      </c>
      <c r="L136" s="67">
        <f t="shared" si="26"/>
        <v>86.294043893758399</v>
      </c>
      <c r="M136" s="66">
        <f>6550603.91+J136</f>
        <v>9987757.8100000005</v>
      </c>
      <c r="N136" s="82">
        <v>15932288</v>
      </c>
      <c r="O136" s="83">
        <f t="shared" si="27"/>
        <v>62.688785251685132</v>
      </c>
      <c r="P136" s="60"/>
      <c r="Q136" s="144"/>
      <c r="R136" s="55"/>
      <c r="S136" s="55"/>
    </row>
    <row r="137" spans="1:19" ht="20.100000000000001" customHeight="1" x14ac:dyDescent="0.25">
      <c r="A137" s="1">
        <v>32</v>
      </c>
      <c r="B137" s="113" t="s">
        <v>218</v>
      </c>
      <c r="C137" s="80" t="s">
        <v>526</v>
      </c>
      <c r="D137" s="33"/>
      <c r="E137" s="65">
        <f t="shared" si="22"/>
        <v>97959.24083333333</v>
      </c>
      <c r="F137" s="35">
        <v>0</v>
      </c>
      <c r="G137" s="65">
        <f t="shared" si="30"/>
        <v>97959.24083333333</v>
      </c>
      <c r="H137" s="33">
        <v>0</v>
      </c>
      <c r="I137" s="81">
        <f t="shared" si="23"/>
        <v>97959.24083333333</v>
      </c>
      <c r="J137" s="66">
        <f t="shared" si="28"/>
        <v>0</v>
      </c>
      <c r="K137" s="33">
        <f t="shared" si="29"/>
        <v>293877.72249999997</v>
      </c>
      <c r="L137" s="67">
        <f t="shared" si="26"/>
        <v>0</v>
      </c>
      <c r="M137" s="66">
        <f>0+J137</f>
        <v>0</v>
      </c>
      <c r="N137" s="82">
        <v>1175510.8899999999</v>
      </c>
      <c r="O137" s="83">
        <f t="shared" si="27"/>
        <v>0</v>
      </c>
      <c r="P137" s="60"/>
      <c r="Q137" s="144"/>
      <c r="R137" s="55"/>
      <c r="S137" s="55"/>
    </row>
    <row r="138" spans="1:19" ht="20.100000000000001" customHeight="1" x14ac:dyDescent="0.25">
      <c r="A138" s="1">
        <v>34</v>
      </c>
      <c r="B138" s="113" t="s">
        <v>220</v>
      </c>
      <c r="C138" s="80" t="s">
        <v>527</v>
      </c>
      <c r="D138" s="33"/>
      <c r="E138" s="65">
        <f t="shared" si="22"/>
        <v>833333.33333333337</v>
      </c>
      <c r="F138" s="65">
        <v>0</v>
      </c>
      <c r="G138" s="65">
        <f t="shared" si="30"/>
        <v>833333.33333333337</v>
      </c>
      <c r="H138" s="65">
        <v>0</v>
      </c>
      <c r="I138" s="81">
        <f t="shared" ref="I138:I165" si="31">G138</f>
        <v>833333.33333333337</v>
      </c>
      <c r="J138" s="66">
        <f t="shared" si="28"/>
        <v>0</v>
      </c>
      <c r="K138" s="33">
        <f t="shared" si="29"/>
        <v>2500000</v>
      </c>
      <c r="L138" s="67">
        <f t="shared" si="26"/>
        <v>0</v>
      </c>
      <c r="M138" s="66">
        <f>0+J138</f>
        <v>0</v>
      </c>
      <c r="N138" s="82">
        <v>10000000</v>
      </c>
      <c r="O138" s="83">
        <f t="shared" si="27"/>
        <v>0</v>
      </c>
      <c r="P138" s="60"/>
      <c r="Q138" s="144"/>
      <c r="R138" s="55"/>
      <c r="S138" s="55"/>
    </row>
    <row r="139" spans="1:19" ht="20.100000000000001" customHeight="1" x14ac:dyDescent="0.25">
      <c r="B139" s="113" t="s">
        <v>51</v>
      </c>
      <c r="C139" s="80" t="s">
        <v>576</v>
      </c>
      <c r="D139" s="33">
        <v>75430.789999999994</v>
      </c>
      <c r="E139" s="65">
        <f t="shared" si="22"/>
        <v>110084.86333333334</v>
      </c>
      <c r="F139" s="65">
        <v>43675.66</v>
      </c>
      <c r="G139" s="65">
        <f t="shared" si="30"/>
        <v>110084.86333333334</v>
      </c>
      <c r="H139" s="33">
        <v>0</v>
      </c>
      <c r="I139" s="81">
        <f t="shared" si="31"/>
        <v>110084.86333333334</v>
      </c>
      <c r="J139" s="66">
        <f t="shared" si="28"/>
        <v>119106.45</v>
      </c>
      <c r="K139" s="33">
        <f t="shared" si="29"/>
        <v>330254.59000000003</v>
      </c>
      <c r="L139" s="67">
        <f t="shared" si="26"/>
        <v>36.065040004440206</v>
      </c>
      <c r="M139" s="66">
        <f>1201911.91+J139</f>
        <v>1321018.3599999999</v>
      </c>
      <c r="N139" s="82">
        <v>1321018.3600000001</v>
      </c>
      <c r="O139" s="83">
        <f t="shared" si="27"/>
        <v>99.999999999999972</v>
      </c>
      <c r="P139" s="60"/>
      <c r="Q139" s="144"/>
      <c r="R139" s="55"/>
      <c r="S139" s="55"/>
    </row>
    <row r="140" spans="1:19" ht="20.100000000000001" customHeight="1" x14ac:dyDescent="0.25">
      <c r="B140" s="113" t="s">
        <v>52</v>
      </c>
      <c r="C140" s="80" t="s">
        <v>577</v>
      </c>
      <c r="D140" s="33">
        <v>365363.14</v>
      </c>
      <c r="E140" s="65">
        <f t="shared" si="22"/>
        <v>122250</v>
      </c>
      <c r="F140" s="65">
        <v>91588.45</v>
      </c>
      <c r="G140" s="65">
        <f t="shared" si="30"/>
        <v>122250</v>
      </c>
      <c r="H140" s="33">
        <v>286772.02</v>
      </c>
      <c r="I140" s="81">
        <f t="shared" si="31"/>
        <v>122250</v>
      </c>
      <c r="J140" s="66">
        <f t="shared" si="28"/>
        <v>743723.6100000001</v>
      </c>
      <c r="K140" s="33">
        <f t="shared" si="29"/>
        <v>366750</v>
      </c>
      <c r="L140" s="67">
        <f t="shared" si="26"/>
        <v>202.78762372188143</v>
      </c>
      <c r="M140" s="66">
        <f>723276.39+J140</f>
        <v>1467000</v>
      </c>
      <c r="N140" s="82">
        <v>1467000</v>
      </c>
      <c r="O140" s="83">
        <f t="shared" si="27"/>
        <v>100</v>
      </c>
      <c r="P140" s="60"/>
      <c r="Q140" s="144"/>
      <c r="R140" s="55"/>
      <c r="S140" s="55"/>
    </row>
    <row r="141" spans="1:19" ht="20.100000000000001" customHeight="1" x14ac:dyDescent="0.25">
      <c r="B141" s="113" t="s">
        <v>53</v>
      </c>
      <c r="C141" s="80" t="s">
        <v>578</v>
      </c>
      <c r="D141" s="33"/>
      <c r="E141" s="65">
        <f t="shared" si="22"/>
        <v>86083.333333333328</v>
      </c>
      <c r="F141" s="65">
        <v>0</v>
      </c>
      <c r="G141" s="65">
        <f t="shared" si="30"/>
        <v>86083.333333333328</v>
      </c>
      <c r="H141" s="33">
        <v>0</v>
      </c>
      <c r="I141" s="81">
        <f t="shared" si="31"/>
        <v>86083.333333333328</v>
      </c>
      <c r="J141" s="66">
        <f t="shared" si="28"/>
        <v>0</v>
      </c>
      <c r="K141" s="33">
        <f t="shared" si="29"/>
        <v>258250</v>
      </c>
      <c r="L141" s="67">
        <f t="shared" si="26"/>
        <v>0</v>
      </c>
      <c r="M141" s="66">
        <f>1033000+J141</f>
        <v>1033000</v>
      </c>
      <c r="N141" s="82">
        <v>1033000</v>
      </c>
      <c r="O141" s="83">
        <f t="shared" si="27"/>
        <v>100</v>
      </c>
      <c r="P141" s="60"/>
      <c r="Q141" s="144"/>
      <c r="R141" s="55"/>
      <c r="S141" s="55"/>
    </row>
    <row r="142" spans="1:19" ht="20.100000000000001" customHeight="1" x14ac:dyDescent="0.25">
      <c r="B142" s="113" t="s">
        <v>381</v>
      </c>
      <c r="C142" s="80" t="s">
        <v>579</v>
      </c>
      <c r="D142" s="33"/>
      <c r="E142" s="65">
        <f t="shared" si="22"/>
        <v>10078.345833333333</v>
      </c>
      <c r="F142" s="65">
        <v>0</v>
      </c>
      <c r="G142" s="65">
        <f t="shared" si="30"/>
        <v>10078.345833333333</v>
      </c>
      <c r="H142" s="33">
        <v>0</v>
      </c>
      <c r="I142" s="81">
        <f t="shared" si="31"/>
        <v>10078.345833333333</v>
      </c>
      <c r="J142" s="66">
        <f t="shared" si="28"/>
        <v>0</v>
      </c>
      <c r="K142" s="33">
        <f t="shared" si="29"/>
        <v>30235.037499999999</v>
      </c>
      <c r="L142" s="67">
        <f t="shared" si="26"/>
        <v>0</v>
      </c>
      <c r="M142" s="66">
        <f>120940.15+J142</f>
        <v>120940.15</v>
      </c>
      <c r="N142" s="82">
        <v>120940.15</v>
      </c>
      <c r="O142" s="83">
        <f t="shared" si="27"/>
        <v>100</v>
      </c>
      <c r="P142" s="60"/>
      <c r="Q142" s="144"/>
      <c r="R142" s="55"/>
      <c r="S142" s="55"/>
    </row>
    <row r="143" spans="1:19" ht="20.100000000000001" customHeight="1" x14ac:dyDescent="0.25">
      <c r="B143" s="113" t="s">
        <v>383</v>
      </c>
      <c r="C143" s="80" t="s">
        <v>580</v>
      </c>
      <c r="D143" s="33">
        <v>818960</v>
      </c>
      <c r="E143" s="65">
        <f t="shared" si="22"/>
        <v>68750</v>
      </c>
      <c r="F143" s="65">
        <v>0</v>
      </c>
      <c r="G143" s="65">
        <f t="shared" si="30"/>
        <v>68750</v>
      </c>
      <c r="H143" s="33">
        <v>0</v>
      </c>
      <c r="I143" s="81">
        <f t="shared" si="31"/>
        <v>68750</v>
      </c>
      <c r="J143" s="66">
        <f t="shared" si="28"/>
        <v>818960</v>
      </c>
      <c r="K143" s="33">
        <f t="shared" si="29"/>
        <v>206250</v>
      </c>
      <c r="L143" s="67">
        <f t="shared" si="26"/>
        <v>397.07151515151514</v>
      </c>
      <c r="M143" s="66">
        <f>0+J143</f>
        <v>818960</v>
      </c>
      <c r="N143" s="82">
        <v>825000</v>
      </c>
      <c r="O143" s="83">
        <f t="shared" si="27"/>
        <v>99.267878787878786</v>
      </c>
      <c r="P143" s="60"/>
      <c r="Q143" s="144"/>
      <c r="R143" s="55"/>
      <c r="S143" s="55"/>
    </row>
    <row r="144" spans="1:19" ht="20.100000000000001" customHeight="1" x14ac:dyDescent="0.25">
      <c r="B144" s="113" t="s">
        <v>387</v>
      </c>
      <c r="C144" s="80" t="s">
        <v>582</v>
      </c>
      <c r="D144" s="33"/>
      <c r="E144" s="65">
        <f t="shared" si="22"/>
        <v>83333.333333333328</v>
      </c>
      <c r="F144" s="65">
        <v>0</v>
      </c>
      <c r="G144" s="65">
        <f t="shared" si="30"/>
        <v>83333.333333333328</v>
      </c>
      <c r="H144" s="33">
        <v>733865.61</v>
      </c>
      <c r="I144" s="81">
        <f t="shared" si="31"/>
        <v>83333.333333333328</v>
      </c>
      <c r="J144" s="66">
        <f t="shared" si="28"/>
        <v>733865.61</v>
      </c>
      <c r="K144" s="33">
        <f t="shared" si="29"/>
        <v>250000</v>
      </c>
      <c r="L144" s="67">
        <f t="shared" si="26"/>
        <v>293.546244</v>
      </c>
      <c r="M144" s="66">
        <f>249400+J144</f>
        <v>983265.61</v>
      </c>
      <c r="N144" s="82">
        <v>1000000</v>
      </c>
      <c r="O144" s="83">
        <f t="shared" si="27"/>
        <v>98.326560999999998</v>
      </c>
      <c r="P144" s="60"/>
      <c r="Q144" s="144"/>
      <c r="R144" s="55"/>
      <c r="S144" s="55"/>
    </row>
    <row r="145" spans="2:19" ht="20.100000000000001" customHeight="1" x14ac:dyDescent="0.25">
      <c r="B145" s="113" t="s">
        <v>390</v>
      </c>
      <c r="C145" s="80" t="s">
        <v>583</v>
      </c>
      <c r="D145" s="33">
        <v>608545.09</v>
      </c>
      <c r="E145" s="65">
        <f t="shared" si="22"/>
        <v>270880.15583333332</v>
      </c>
      <c r="F145" s="65">
        <v>268160.12</v>
      </c>
      <c r="G145" s="65">
        <f t="shared" si="30"/>
        <v>270880.15583333332</v>
      </c>
      <c r="H145" s="33">
        <v>236642.83</v>
      </c>
      <c r="I145" s="81">
        <f t="shared" si="31"/>
        <v>270880.15583333332</v>
      </c>
      <c r="J145" s="66">
        <f t="shared" si="28"/>
        <v>1113348.04</v>
      </c>
      <c r="K145" s="33">
        <f t="shared" si="29"/>
        <v>812640.46750000003</v>
      </c>
      <c r="L145" s="67">
        <f t="shared" si="26"/>
        <v>137.003765444403</v>
      </c>
      <c r="M145" s="66">
        <f>2058936.27+J145</f>
        <v>3172284.31</v>
      </c>
      <c r="N145" s="82">
        <v>3250561.87</v>
      </c>
      <c r="O145" s="83">
        <f t="shared" si="27"/>
        <v>97.59187601619162</v>
      </c>
      <c r="P145" s="60"/>
      <c r="Q145" s="144"/>
      <c r="R145" s="55"/>
      <c r="S145" s="55"/>
    </row>
    <row r="146" spans="2:19" ht="20.100000000000001" customHeight="1" x14ac:dyDescent="0.25">
      <c r="B146" s="113" t="s">
        <v>391</v>
      </c>
      <c r="C146" s="80" t="s">
        <v>584</v>
      </c>
      <c r="D146" s="33">
        <v>232865.63</v>
      </c>
      <c r="E146" s="65">
        <f t="shared" si="22"/>
        <v>79283.481666666674</v>
      </c>
      <c r="F146" s="65">
        <v>0</v>
      </c>
      <c r="G146" s="65">
        <f t="shared" si="30"/>
        <v>79283.481666666674</v>
      </c>
      <c r="H146" s="33">
        <v>55734.84</v>
      </c>
      <c r="I146" s="81">
        <f t="shared" si="31"/>
        <v>79283.481666666674</v>
      </c>
      <c r="J146" s="66">
        <f t="shared" si="28"/>
        <v>288600.46999999997</v>
      </c>
      <c r="K146" s="33">
        <f t="shared" si="29"/>
        <v>237850.44500000001</v>
      </c>
      <c r="L146" s="67">
        <f t="shared" si="26"/>
        <v>121.33694767735246</v>
      </c>
      <c r="M146" s="66">
        <f>662801.31+J146</f>
        <v>951401.78</v>
      </c>
      <c r="N146" s="82">
        <v>951401.78</v>
      </c>
      <c r="O146" s="83">
        <f t="shared" si="27"/>
        <v>100</v>
      </c>
      <c r="P146" s="60"/>
      <c r="Q146" s="144"/>
      <c r="R146" s="55"/>
      <c r="S146" s="55"/>
    </row>
    <row r="147" spans="2:19" ht="20.100000000000001" customHeight="1" x14ac:dyDescent="0.25">
      <c r="B147" s="113" t="s">
        <v>393</v>
      </c>
      <c r="C147" s="80" t="s">
        <v>585</v>
      </c>
      <c r="D147" s="33"/>
      <c r="E147" s="65">
        <f t="shared" si="22"/>
        <v>11432.5</v>
      </c>
      <c r="F147" s="65">
        <v>137190</v>
      </c>
      <c r="G147" s="65">
        <f t="shared" si="30"/>
        <v>11432.5</v>
      </c>
      <c r="H147" s="33">
        <v>0</v>
      </c>
      <c r="I147" s="81">
        <f t="shared" si="31"/>
        <v>11432.5</v>
      </c>
      <c r="J147" s="66">
        <f t="shared" si="28"/>
        <v>137190</v>
      </c>
      <c r="K147" s="33">
        <f t="shared" si="29"/>
        <v>34297.5</v>
      </c>
      <c r="L147" s="67">
        <f t="shared" si="26"/>
        <v>400</v>
      </c>
      <c r="M147" s="66">
        <f t="shared" ref="M147:M166" si="32">0+J147</f>
        <v>137190</v>
      </c>
      <c r="N147" s="82">
        <v>137190</v>
      </c>
      <c r="O147" s="83">
        <f t="shared" si="27"/>
        <v>100</v>
      </c>
      <c r="P147" s="60"/>
      <c r="Q147" s="144"/>
      <c r="R147" s="55"/>
      <c r="S147" s="55"/>
    </row>
    <row r="148" spans="2:19" ht="20.100000000000001" customHeight="1" x14ac:dyDescent="0.25">
      <c r="B148" s="113" t="s">
        <v>607</v>
      </c>
      <c r="C148" s="80" t="s">
        <v>608</v>
      </c>
      <c r="D148" s="33"/>
      <c r="E148" s="65">
        <f t="shared" si="22"/>
        <v>4836.7908333333335</v>
      </c>
      <c r="F148" s="65">
        <v>0</v>
      </c>
      <c r="G148" s="65">
        <f t="shared" si="30"/>
        <v>4836.7908333333335</v>
      </c>
      <c r="H148" s="33">
        <v>58041.49</v>
      </c>
      <c r="I148" s="81">
        <f t="shared" si="31"/>
        <v>4836.7908333333335</v>
      </c>
      <c r="J148" s="66">
        <f t="shared" si="28"/>
        <v>58041.49</v>
      </c>
      <c r="K148" s="33">
        <f t="shared" si="29"/>
        <v>14510.372500000001</v>
      </c>
      <c r="L148" s="67">
        <f t="shared" si="26"/>
        <v>399.99999999999994</v>
      </c>
      <c r="M148" s="66">
        <f t="shared" si="32"/>
        <v>58041.49</v>
      </c>
      <c r="N148" s="82">
        <v>58041.49</v>
      </c>
      <c r="O148" s="83">
        <f t="shared" si="27"/>
        <v>100</v>
      </c>
      <c r="P148" s="60"/>
      <c r="Q148" s="144"/>
      <c r="R148" s="55"/>
      <c r="S148" s="55"/>
    </row>
    <row r="149" spans="2:19" ht="20.100000000000001" customHeight="1" x14ac:dyDescent="0.25">
      <c r="B149" s="113" t="s">
        <v>609</v>
      </c>
      <c r="C149" s="80" t="s">
        <v>610</v>
      </c>
      <c r="D149" s="33">
        <v>127148.15</v>
      </c>
      <c r="E149" s="65">
        <f t="shared" si="22"/>
        <v>10595.679166666667</v>
      </c>
      <c r="F149" s="65">
        <v>0</v>
      </c>
      <c r="G149" s="65">
        <f t="shared" si="30"/>
        <v>10595.679166666667</v>
      </c>
      <c r="H149" s="33">
        <v>0</v>
      </c>
      <c r="I149" s="81">
        <f t="shared" si="31"/>
        <v>10595.679166666667</v>
      </c>
      <c r="J149" s="66">
        <f t="shared" si="28"/>
        <v>127148.15</v>
      </c>
      <c r="K149" s="33">
        <f t="shared" si="29"/>
        <v>31787.037499999999</v>
      </c>
      <c r="L149" s="67">
        <f t="shared" si="26"/>
        <v>400</v>
      </c>
      <c r="M149" s="66">
        <f t="shared" si="32"/>
        <v>127148.15</v>
      </c>
      <c r="N149" s="82">
        <v>127148.15</v>
      </c>
      <c r="O149" s="83">
        <f t="shared" si="27"/>
        <v>100</v>
      </c>
      <c r="P149" s="60"/>
      <c r="Q149" s="144"/>
      <c r="R149" s="55"/>
      <c r="S149" s="55"/>
    </row>
    <row r="150" spans="2:19" ht="20.100000000000001" customHeight="1" x14ac:dyDescent="0.25">
      <c r="B150" s="113" t="s">
        <v>611</v>
      </c>
      <c r="C150" s="80" t="s">
        <v>612</v>
      </c>
      <c r="D150" s="33"/>
      <c r="E150" s="65">
        <f t="shared" si="22"/>
        <v>18000</v>
      </c>
      <c r="F150" s="65">
        <v>0</v>
      </c>
      <c r="G150" s="65">
        <f t="shared" si="30"/>
        <v>18000</v>
      </c>
      <c r="H150" s="33">
        <v>215992</v>
      </c>
      <c r="I150" s="81">
        <f t="shared" si="31"/>
        <v>18000</v>
      </c>
      <c r="J150" s="66">
        <f t="shared" si="28"/>
        <v>215992</v>
      </c>
      <c r="K150" s="33">
        <f t="shared" si="29"/>
        <v>54000</v>
      </c>
      <c r="L150" s="67">
        <f t="shared" si="26"/>
        <v>399.98518518518517</v>
      </c>
      <c r="M150" s="66">
        <f t="shared" si="32"/>
        <v>215992</v>
      </c>
      <c r="N150" s="82">
        <v>216000</v>
      </c>
      <c r="O150" s="83">
        <f t="shared" si="27"/>
        <v>99.996296296296293</v>
      </c>
      <c r="P150" s="60"/>
      <c r="Q150" s="144"/>
      <c r="R150" s="55"/>
      <c r="S150" s="55"/>
    </row>
    <row r="151" spans="2:19" ht="20.100000000000001" customHeight="1" x14ac:dyDescent="0.25">
      <c r="B151" s="113" t="s">
        <v>613</v>
      </c>
      <c r="C151" s="80" t="s">
        <v>614</v>
      </c>
      <c r="D151" s="33"/>
      <c r="E151" s="65">
        <f t="shared" si="22"/>
        <v>11987.5</v>
      </c>
      <c r="F151" s="65">
        <v>0</v>
      </c>
      <c r="G151" s="65">
        <f t="shared" si="30"/>
        <v>11987.5</v>
      </c>
      <c r="H151" s="33">
        <v>143848.44</v>
      </c>
      <c r="I151" s="81">
        <f t="shared" si="31"/>
        <v>11987.5</v>
      </c>
      <c r="J151" s="66">
        <f t="shared" si="28"/>
        <v>143848.44</v>
      </c>
      <c r="K151" s="33">
        <f t="shared" si="29"/>
        <v>35962.5</v>
      </c>
      <c r="L151" s="67">
        <f t="shared" si="26"/>
        <v>399.99566214807089</v>
      </c>
      <c r="M151" s="66">
        <f t="shared" si="32"/>
        <v>143848.44</v>
      </c>
      <c r="N151" s="82">
        <v>143850</v>
      </c>
      <c r="O151" s="83">
        <f t="shared" si="27"/>
        <v>99.998915537017723</v>
      </c>
      <c r="P151" s="60"/>
      <c r="Q151" s="144"/>
      <c r="R151" s="55"/>
      <c r="S151" s="55"/>
    </row>
    <row r="152" spans="2:19" ht="20.100000000000001" customHeight="1" x14ac:dyDescent="0.25">
      <c r="B152" s="113" t="s">
        <v>615</v>
      </c>
      <c r="C152" s="80" t="s">
        <v>581</v>
      </c>
      <c r="D152" s="33"/>
      <c r="E152" s="65">
        <f t="shared" si="22"/>
        <v>8333.3333333333339</v>
      </c>
      <c r="F152" s="65">
        <v>42051</v>
      </c>
      <c r="G152" s="65">
        <f t="shared" si="30"/>
        <v>8333.3333333333339</v>
      </c>
      <c r="H152" s="33">
        <v>32214.1</v>
      </c>
      <c r="I152" s="81">
        <f t="shared" si="31"/>
        <v>8333.3333333333339</v>
      </c>
      <c r="J152" s="66">
        <f t="shared" si="28"/>
        <v>74265.100000000006</v>
      </c>
      <c r="K152" s="33">
        <f t="shared" si="29"/>
        <v>25000</v>
      </c>
      <c r="L152" s="67">
        <f t="shared" si="26"/>
        <v>297.06040000000002</v>
      </c>
      <c r="M152" s="66">
        <f t="shared" si="32"/>
        <v>74265.100000000006</v>
      </c>
      <c r="N152" s="82">
        <v>100000</v>
      </c>
      <c r="O152" s="83">
        <f t="shared" si="27"/>
        <v>74.265100000000004</v>
      </c>
      <c r="P152" s="60"/>
      <c r="Q152" s="144"/>
      <c r="R152" s="55"/>
      <c r="S152" s="55"/>
    </row>
    <row r="153" spans="2:19" ht="20.100000000000001" customHeight="1" x14ac:dyDescent="0.25">
      <c r="B153" s="113" t="s">
        <v>616</v>
      </c>
      <c r="C153" s="80" t="s">
        <v>617</v>
      </c>
      <c r="D153" s="33"/>
      <c r="E153" s="65">
        <f t="shared" si="22"/>
        <v>10000</v>
      </c>
      <c r="F153" s="65">
        <v>10068.799999999999</v>
      </c>
      <c r="G153" s="65">
        <f t="shared" si="30"/>
        <v>10000</v>
      </c>
      <c r="H153" s="33">
        <v>38676.089999999997</v>
      </c>
      <c r="I153" s="81">
        <f t="shared" si="31"/>
        <v>10000</v>
      </c>
      <c r="J153" s="66">
        <f t="shared" si="28"/>
        <v>48744.89</v>
      </c>
      <c r="K153" s="33">
        <f t="shared" si="29"/>
        <v>30000</v>
      </c>
      <c r="L153" s="67">
        <f t="shared" si="26"/>
        <v>162.48296666666667</v>
      </c>
      <c r="M153" s="66">
        <f t="shared" si="32"/>
        <v>48744.89</v>
      </c>
      <c r="N153" s="82">
        <v>120000</v>
      </c>
      <c r="O153" s="83">
        <f t="shared" si="27"/>
        <v>40.620741666666667</v>
      </c>
      <c r="P153" s="60"/>
      <c r="Q153" s="144"/>
      <c r="R153" s="55"/>
      <c r="S153" s="55"/>
    </row>
    <row r="154" spans="2:19" ht="20.100000000000001" customHeight="1" x14ac:dyDescent="0.25">
      <c r="B154" s="113" t="s">
        <v>618</v>
      </c>
      <c r="C154" s="80" t="s">
        <v>619</v>
      </c>
      <c r="D154" s="33">
        <v>22515</v>
      </c>
      <c r="E154" s="65">
        <f t="shared" si="22"/>
        <v>8333.3333333333339</v>
      </c>
      <c r="F154" s="65">
        <v>15786</v>
      </c>
      <c r="G154" s="65">
        <f t="shared" si="30"/>
        <v>8333.3333333333339</v>
      </c>
      <c r="H154" s="33">
        <v>61698.99</v>
      </c>
      <c r="I154" s="81">
        <f t="shared" si="31"/>
        <v>8333.3333333333339</v>
      </c>
      <c r="J154" s="66">
        <f t="shared" si="28"/>
        <v>99999.989999999991</v>
      </c>
      <c r="K154" s="33">
        <f t="shared" si="29"/>
        <v>25000</v>
      </c>
      <c r="L154" s="67">
        <f t="shared" si="26"/>
        <v>399.99995999999999</v>
      </c>
      <c r="M154" s="66">
        <f t="shared" si="32"/>
        <v>99999.989999999991</v>
      </c>
      <c r="N154" s="82">
        <v>100000</v>
      </c>
      <c r="O154" s="83">
        <f t="shared" si="27"/>
        <v>99.999989999999997</v>
      </c>
      <c r="P154" s="60"/>
      <c r="Q154" s="144"/>
      <c r="R154" s="55"/>
      <c r="S154" s="55"/>
    </row>
    <row r="155" spans="2:19" ht="20.100000000000001" customHeight="1" x14ac:dyDescent="0.25">
      <c r="B155" s="113" t="s">
        <v>620</v>
      </c>
      <c r="C155" s="80" t="s">
        <v>621</v>
      </c>
      <c r="D155" s="33"/>
      <c r="E155" s="65">
        <f t="shared" si="22"/>
        <v>0</v>
      </c>
      <c r="F155" s="65">
        <v>0</v>
      </c>
      <c r="G155" s="65">
        <f t="shared" si="30"/>
        <v>0</v>
      </c>
      <c r="H155" s="33">
        <v>0</v>
      </c>
      <c r="I155" s="81">
        <f t="shared" si="31"/>
        <v>0</v>
      </c>
      <c r="J155" s="66">
        <f t="shared" si="28"/>
        <v>0</v>
      </c>
      <c r="K155" s="33">
        <f t="shared" si="29"/>
        <v>0</v>
      </c>
      <c r="L155" s="67" t="e">
        <f t="shared" si="26"/>
        <v>#DIV/0!</v>
      </c>
      <c r="M155" s="66">
        <f t="shared" si="32"/>
        <v>0</v>
      </c>
      <c r="N155" s="82">
        <v>0</v>
      </c>
      <c r="O155" s="83" t="e">
        <f t="shared" si="27"/>
        <v>#DIV/0!</v>
      </c>
      <c r="P155" s="60"/>
      <c r="Q155" s="144"/>
      <c r="R155" s="55"/>
      <c r="S155" s="55"/>
    </row>
    <row r="156" spans="2:19" ht="20.100000000000001" customHeight="1" x14ac:dyDescent="0.25">
      <c r="B156" s="113" t="s">
        <v>622</v>
      </c>
      <c r="C156" s="80" t="s">
        <v>623</v>
      </c>
      <c r="D156" s="33"/>
      <c r="E156" s="65">
        <f t="shared" si="22"/>
        <v>4166.666666666667</v>
      </c>
      <c r="F156" s="65">
        <v>4820.01</v>
      </c>
      <c r="G156" s="65">
        <f t="shared" si="30"/>
        <v>4166.666666666667</v>
      </c>
      <c r="H156" s="33">
        <v>13622.64</v>
      </c>
      <c r="I156" s="81">
        <f t="shared" si="31"/>
        <v>4166.666666666667</v>
      </c>
      <c r="J156" s="66">
        <f t="shared" si="28"/>
        <v>18442.650000000001</v>
      </c>
      <c r="K156" s="33">
        <f t="shared" si="29"/>
        <v>12500</v>
      </c>
      <c r="L156" s="67">
        <f t="shared" si="26"/>
        <v>147.5412</v>
      </c>
      <c r="M156" s="66">
        <f t="shared" si="32"/>
        <v>18442.650000000001</v>
      </c>
      <c r="N156" s="82">
        <v>50000</v>
      </c>
      <c r="O156" s="83">
        <f t="shared" si="27"/>
        <v>36.885300000000001</v>
      </c>
      <c r="P156" s="60"/>
      <c r="Q156" s="144"/>
      <c r="R156" s="55"/>
      <c r="S156" s="55"/>
    </row>
    <row r="157" spans="2:19" ht="20.100000000000001" customHeight="1" x14ac:dyDescent="0.25">
      <c r="B157" s="113" t="s">
        <v>624</v>
      </c>
      <c r="C157" s="80" t="s">
        <v>625</v>
      </c>
      <c r="D157" s="33"/>
      <c r="E157" s="65">
        <f t="shared" si="22"/>
        <v>10000</v>
      </c>
      <c r="F157" s="65">
        <v>0</v>
      </c>
      <c r="G157" s="65">
        <f t="shared" si="30"/>
        <v>10000</v>
      </c>
      <c r="H157" s="33">
        <v>36090.400000000001</v>
      </c>
      <c r="I157" s="81">
        <f t="shared" si="31"/>
        <v>10000</v>
      </c>
      <c r="J157" s="66">
        <f t="shared" si="28"/>
        <v>36090.400000000001</v>
      </c>
      <c r="K157" s="33">
        <f t="shared" si="29"/>
        <v>30000</v>
      </c>
      <c r="L157" s="67">
        <f t="shared" si="26"/>
        <v>120.30133333333335</v>
      </c>
      <c r="M157" s="66">
        <f t="shared" si="32"/>
        <v>36090.400000000001</v>
      </c>
      <c r="N157" s="82">
        <v>120000</v>
      </c>
      <c r="O157" s="83">
        <f t="shared" si="27"/>
        <v>30.075333333333337</v>
      </c>
      <c r="P157" s="60"/>
      <c r="Q157" s="144"/>
      <c r="R157" s="55"/>
      <c r="S157" s="55"/>
    </row>
    <row r="158" spans="2:19" ht="20.100000000000001" customHeight="1" x14ac:dyDescent="0.25">
      <c r="B158" s="113" t="s">
        <v>626</v>
      </c>
      <c r="C158" s="80" t="s">
        <v>627</v>
      </c>
      <c r="D158" s="33"/>
      <c r="E158" s="65">
        <f t="shared" si="22"/>
        <v>120216.51833333333</v>
      </c>
      <c r="F158" s="65">
        <v>0</v>
      </c>
      <c r="G158" s="65">
        <f t="shared" si="30"/>
        <v>120216.51833333333</v>
      </c>
      <c r="H158" s="33">
        <v>1093441.5</v>
      </c>
      <c r="I158" s="81">
        <f t="shared" si="31"/>
        <v>120216.51833333333</v>
      </c>
      <c r="J158" s="66">
        <f t="shared" si="28"/>
        <v>1093441.5</v>
      </c>
      <c r="K158" s="33">
        <f t="shared" si="29"/>
        <v>360649.55499999999</v>
      </c>
      <c r="L158" s="67">
        <f t="shared" si="26"/>
        <v>303.186704334073</v>
      </c>
      <c r="M158" s="66">
        <f t="shared" si="32"/>
        <v>1093441.5</v>
      </c>
      <c r="N158" s="82">
        <v>1442598.22</v>
      </c>
      <c r="O158" s="83">
        <f t="shared" si="27"/>
        <v>75.79667608351825</v>
      </c>
      <c r="P158" s="60"/>
      <c r="Q158" s="144"/>
      <c r="R158" s="55"/>
      <c r="S158" s="55"/>
    </row>
    <row r="159" spans="2:19" ht="20.100000000000001" customHeight="1" x14ac:dyDescent="0.25">
      <c r="B159" s="113" t="s">
        <v>637</v>
      </c>
      <c r="C159" s="80" t="s">
        <v>638</v>
      </c>
      <c r="D159" s="33"/>
      <c r="E159" s="65">
        <f t="shared" si="22"/>
        <v>62500</v>
      </c>
      <c r="F159" s="65">
        <v>0</v>
      </c>
      <c r="G159" s="65">
        <f t="shared" si="30"/>
        <v>62500</v>
      </c>
      <c r="H159" s="33">
        <v>749985.82</v>
      </c>
      <c r="I159" s="81">
        <f t="shared" si="31"/>
        <v>62500</v>
      </c>
      <c r="J159" s="66">
        <f t="shared" si="28"/>
        <v>749985.82</v>
      </c>
      <c r="K159" s="33">
        <f t="shared" si="29"/>
        <v>187500</v>
      </c>
      <c r="L159" s="67">
        <f t="shared" si="26"/>
        <v>399.99243733333333</v>
      </c>
      <c r="M159" s="66">
        <f t="shared" si="32"/>
        <v>749985.82</v>
      </c>
      <c r="N159" s="82">
        <v>750000</v>
      </c>
      <c r="O159" s="83">
        <f t="shared" si="27"/>
        <v>99.998109333333332</v>
      </c>
      <c r="P159" s="60"/>
      <c r="Q159" s="144"/>
      <c r="R159" s="55"/>
      <c r="S159" s="55"/>
    </row>
    <row r="160" spans="2:19" ht="20.100000000000001" customHeight="1" x14ac:dyDescent="0.25">
      <c r="B160" s="113" t="s">
        <v>639</v>
      </c>
      <c r="C160" s="80" t="s">
        <v>640</v>
      </c>
      <c r="D160" s="33"/>
      <c r="E160" s="65">
        <f t="shared" si="22"/>
        <v>98829.083333333328</v>
      </c>
      <c r="F160" s="65">
        <v>0</v>
      </c>
      <c r="G160" s="65">
        <f t="shared" si="30"/>
        <v>98829.083333333328</v>
      </c>
      <c r="H160" s="33">
        <v>950625.49</v>
      </c>
      <c r="I160" s="81">
        <f t="shared" si="31"/>
        <v>98829.083333333328</v>
      </c>
      <c r="J160" s="66">
        <f t="shared" si="28"/>
        <v>950625.49</v>
      </c>
      <c r="K160" s="33">
        <f t="shared" si="29"/>
        <v>296487.25</v>
      </c>
      <c r="L160" s="67">
        <f t="shared" si="26"/>
        <v>320.62946720305848</v>
      </c>
      <c r="M160" s="66">
        <f t="shared" si="32"/>
        <v>950625.49</v>
      </c>
      <c r="N160" s="82">
        <v>1185949</v>
      </c>
      <c r="O160" s="83">
        <f t="shared" si="27"/>
        <v>80.157366800764621</v>
      </c>
      <c r="P160" s="60"/>
      <c r="Q160" s="144"/>
      <c r="R160" s="55"/>
      <c r="S160" s="55"/>
    </row>
    <row r="161" spans="1:19" ht="20.100000000000001" customHeight="1" x14ac:dyDescent="0.25">
      <c r="B161" s="113" t="s">
        <v>641</v>
      </c>
      <c r="C161" s="80" t="s">
        <v>642</v>
      </c>
      <c r="D161" s="33"/>
      <c r="E161" s="65">
        <f t="shared" si="22"/>
        <v>44651.924166666664</v>
      </c>
      <c r="F161" s="65">
        <v>0</v>
      </c>
      <c r="G161" s="65">
        <f t="shared" si="30"/>
        <v>44651.924166666664</v>
      </c>
      <c r="H161" s="33">
        <v>508106.48</v>
      </c>
      <c r="I161" s="81">
        <f t="shared" si="31"/>
        <v>44651.924166666664</v>
      </c>
      <c r="J161" s="66">
        <f t="shared" si="28"/>
        <v>508106.48</v>
      </c>
      <c r="K161" s="33">
        <f t="shared" si="29"/>
        <v>133955.77249999999</v>
      </c>
      <c r="L161" s="67">
        <f t="shared" si="26"/>
        <v>379.30913354256535</v>
      </c>
      <c r="M161" s="66">
        <f t="shared" si="32"/>
        <v>508106.48</v>
      </c>
      <c r="N161" s="82">
        <v>535823.09</v>
      </c>
      <c r="O161" s="83">
        <f t="shared" si="27"/>
        <v>94.827283385641337</v>
      </c>
      <c r="P161" s="60"/>
      <c r="Q161" s="144"/>
      <c r="R161" s="55"/>
      <c r="S161" s="55"/>
    </row>
    <row r="162" spans="1:19" ht="20.100000000000001" customHeight="1" x14ac:dyDescent="0.25">
      <c r="B162" s="113" t="s">
        <v>643</v>
      </c>
      <c r="C162" s="80" t="s">
        <v>644</v>
      </c>
      <c r="D162" s="33"/>
      <c r="E162" s="65">
        <f t="shared" si="22"/>
        <v>62500</v>
      </c>
      <c r="F162" s="65">
        <v>0</v>
      </c>
      <c r="G162" s="65">
        <f t="shared" si="30"/>
        <v>62500</v>
      </c>
      <c r="H162" s="33">
        <v>596103.57999999996</v>
      </c>
      <c r="I162" s="81">
        <f t="shared" si="31"/>
        <v>62500</v>
      </c>
      <c r="J162" s="66">
        <f t="shared" si="28"/>
        <v>596103.57999999996</v>
      </c>
      <c r="K162" s="33">
        <f t="shared" si="29"/>
        <v>187500</v>
      </c>
      <c r="L162" s="67">
        <f t="shared" si="26"/>
        <v>317.9219093333333</v>
      </c>
      <c r="M162" s="66">
        <f t="shared" si="32"/>
        <v>596103.57999999996</v>
      </c>
      <c r="N162" s="82">
        <v>750000</v>
      </c>
      <c r="O162" s="83">
        <f t="shared" si="27"/>
        <v>79.480477333333326</v>
      </c>
      <c r="P162" s="60"/>
      <c r="Q162" s="144"/>
      <c r="R162" s="55"/>
      <c r="S162" s="55"/>
    </row>
    <row r="163" spans="1:19" ht="20.100000000000001" customHeight="1" x14ac:dyDescent="0.25">
      <c r="B163" s="113" t="s">
        <v>645</v>
      </c>
      <c r="C163" s="80" t="s">
        <v>646</v>
      </c>
      <c r="D163" s="33"/>
      <c r="E163" s="65">
        <f t="shared" si="22"/>
        <v>108549.29416666667</v>
      </c>
      <c r="F163" s="65">
        <v>0</v>
      </c>
      <c r="G163" s="65">
        <f t="shared" si="30"/>
        <v>108549.29416666667</v>
      </c>
      <c r="H163" s="33">
        <v>862091.28</v>
      </c>
      <c r="I163" s="81">
        <f t="shared" si="31"/>
        <v>108549.29416666667</v>
      </c>
      <c r="J163" s="66">
        <f t="shared" si="28"/>
        <v>862091.28</v>
      </c>
      <c r="K163" s="33">
        <f t="shared" si="29"/>
        <v>325647.88250000001</v>
      </c>
      <c r="L163" s="67">
        <f t="shared" si="26"/>
        <v>264.73111797372121</v>
      </c>
      <c r="M163" s="66">
        <f t="shared" si="32"/>
        <v>862091.28</v>
      </c>
      <c r="N163" s="82">
        <v>1302591.53</v>
      </c>
      <c r="O163" s="83">
        <f t="shared" si="27"/>
        <v>66.182779493430303</v>
      </c>
      <c r="P163" s="60"/>
      <c r="Q163" s="144"/>
      <c r="R163" s="55"/>
      <c r="S163" s="55"/>
    </row>
    <row r="164" spans="1:19" ht="20.100000000000001" customHeight="1" x14ac:dyDescent="0.25">
      <c r="B164" s="113" t="s">
        <v>647</v>
      </c>
      <c r="C164" s="80" t="s">
        <v>648</v>
      </c>
      <c r="D164" s="33"/>
      <c r="E164" s="65">
        <f t="shared" si="22"/>
        <v>37034.039166666662</v>
      </c>
      <c r="F164" s="65">
        <v>0</v>
      </c>
      <c r="G164" s="65">
        <f t="shared" si="30"/>
        <v>37034.039166666662</v>
      </c>
      <c r="H164" s="33">
        <v>219976.34</v>
      </c>
      <c r="I164" s="81">
        <f t="shared" si="31"/>
        <v>37034.039166666662</v>
      </c>
      <c r="J164" s="66">
        <f t="shared" si="28"/>
        <v>219976.34</v>
      </c>
      <c r="K164" s="33">
        <f t="shared" si="29"/>
        <v>111102.11749999999</v>
      </c>
      <c r="L164" s="67">
        <f t="shared" si="26"/>
        <v>197.99473218861019</v>
      </c>
      <c r="M164" s="66">
        <f t="shared" si="32"/>
        <v>219976.34</v>
      </c>
      <c r="N164" s="82">
        <v>444408.47</v>
      </c>
      <c r="O164" s="83">
        <f t="shared" si="27"/>
        <v>49.498683047152547</v>
      </c>
      <c r="P164" s="60"/>
      <c r="Q164" s="144"/>
      <c r="R164" s="55"/>
      <c r="S164" s="55"/>
    </row>
    <row r="165" spans="1:19" ht="20.100000000000001" customHeight="1" x14ac:dyDescent="0.25">
      <c r="B165" s="113" t="s">
        <v>649</v>
      </c>
      <c r="C165" s="80" t="s">
        <v>650</v>
      </c>
      <c r="D165" s="33"/>
      <c r="E165" s="65">
        <f t="shared" si="22"/>
        <v>21083.333333333332</v>
      </c>
      <c r="F165" s="65">
        <v>0</v>
      </c>
      <c r="G165" s="65">
        <f t="shared" si="30"/>
        <v>21083.333333333332</v>
      </c>
      <c r="H165" s="33">
        <v>244614.32</v>
      </c>
      <c r="I165" s="81">
        <f t="shared" si="31"/>
        <v>21083.333333333332</v>
      </c>
      <c r="J165" s="66">
        <f t="shared" si="28"/>
        <v>244614.32</v>
      </c>
      <c r="K165" s="33">
        <f t="shared" si="29"/>
        <v>63250</v>
      </c>
      <c r="L165" s="67">
        <f t="shared" si="26"/>
        <v>386.74200790513834</v>
      </c>
      <c r="M165" s="66">
        <f t="shared" si="32"/>
        <v>244614.32</v>
      </c>
      <c r="N165" s="82">
        <v>253000</v>
      </c>
      <c r="O165" s="83">
        <f t="shared" si="27"/>
        <v>96.685501976284584</v>
      </c>
      <c r="P165" s="60"/>
      <c r="Q165" s="144"/>
      <c r="R165" s="55"/>
      <c r="S165" s="55"/>
    </row>
    <row r="166" spans="1:19" ht="20.100000000000001" customHeight="1" x14ac:dyDescent="0.25">
      <c r="B166" s="113" t="s">
        <v>651</v>
      </c>
      <c r="C166" s="80" t="s">
        <v>652</v>
      </c>
      <c r="D166" s="33"/>
      <c r="E166" s="65">
        <f>N166/12</f>
        <v>39735</v>
      </c>
      <c r="F166" s="65">
        <v>0</v>
      </c>
      <c r="G166" s="65">
        <f>P166/12</f>
        <v>0</v>
      </c>
      <c r="H166" s="33">
        <v>0</v>
      </c>
      <c r="I166" s="65">
        <f>R166/12</f>
        <v>0</v>
      </c>
      <c r="J166" s="66">
        <f t="shared" si="28"/>
        <v>0</v>
      </c>
      <c r="K166" s="33">
        <f t="shared" si="29"/>
        <v>39735</v>
      </c>
      <c r="L166" s="67">
        <f t="shared" si="26"/>
        <v>0</v>
      </c>
      <c r="M166" s="66">
        <f t="shared" si="32"/>
        <v>0</v>
      </c>
      <c r="N166" s="82">
        <v>476820</v>
      </c>
      <c r="O166" s="83">
        <f t="shared" si="27"/>
        <v>0</v>
      </c>
      <c r="P166" s="60"/>
      <c r="Q166" s="144"/>
      <c r="R166" s="55"/>
      <c r="S166" s="55"/>
    </row>
    <row r="167" spans="1:19" ht="20.100000000000001" customHeight="1" x14ac:dyDescent="0.25">
      <c r="A167" s="1">
        <v>35</v>
      </c>
      <c r="B167" s="113" t="s">
        <v>54</v>
      </c>
      <c r="C167" s="80" t="s">
        <v>528</v>
      </c>
      <c r="D167" s="33"/>
      <c r="E167" s="65">
        <f t="shared" si="22"/>
        <v>125000</v>
      </c>
      <c r="F167" s="65">
        <v>0</v>
      </c>
      <c r="G167" s="65">
        <f t="shared" si="30"/>
        <v>125000</v>
      </c>
      <c r="H167" s="33">
        <v>182517.19</v>
      </c>
      <c r="I167" s="81">
        <f t="shared" si="23"/>
        <v>125000</v>
      </c>
      <c r="J167" s="66">
        <f t="shared" si="28"/>
        <v>182517.19</v>
      </c>
      <c r="K167" s="33">
        <f t="shared" si="29"/>
        <v>375000</v>
      </c>
      <c r="L167" s="67">
        <f t="shared" si="26"/>
        <v>48.671250666666666</v>
      </c>
      <c r="M167" s="66">
        <f>775615.46+J167</f>
        <v>958132.64999999991</v>
      </c>
      <c r="N167" s="82">
        <v>1500000</v>
      </c>
      <c r="O167" s="83">
        <f t="shared" si="27"/>
        <v>63.875509999999991</v>
      </c>
      <c r="P167" s="60"/>
      <c r="Q167" s="144"/>
      <c r="R167" s="55"/>
      <c r="S167" s="55"/>
    </row>
    <row r="168" spans="1:19" ht="20.100000000000001" customHeight="1" x14ac:dyDescent="0.25">
      <c r="B168" s="113" t="s">
        <v>441</v>
      </c>
      <c r="C168" s="80" t="s">
        <v>628</v>
      </c>
      <c r="D168" s="33"/>
      <c r="E168" s="65">
        <f t="shared" si="22"/>
        <v>0</v>
      </c>
      <c r="F168" s="35">
        <v>0</v>
      </c>
      <c r="G168" s="65">
        <f t="shared" si="30"/>
        <v>0</v>
      </c>
      <c r="H168" s="33">
        <v>0</v>
      </c>
      <c r="I168" s="81">
        <f t="shared" si="23"/>
        <v>0</v>
      </c>
      <c r="J168" s="66">
        <f t="shared" si="28"/>
        <v>0</v>
      </c>
      <c r="K168" s="33">
        <f t="shared" si="29"/>
        <v>0</v>
      </c>
      <c r="L168" s="67" t="e">
        <f t="shared" si="26"/>
        <v>#DIV/0!</v>
      </c>
      <c r="M168" s="66">
        <f>0+J168</f>
        <v>0</v>
      </c>
      <c r="N168" s="82">
        <v>0</v>
      </c>
      <c r="O168" s="83" t="e">
        <f t="shared" si="27"/>
        <v>#DIV/0!</v>
      </c>
      <c r="P168" s="60"/>
      <c r="Q168" s="144"/>
      <c r="R168" s="55"/>
      <c r="S168" s="55"/>
    </row>
    <row r="169" spans="1:19" ht="20.100000000000001" customHeight="1" x14ac:dyDescent="0.25">
      <c r="A169" s="1">
        <v>36</v>
      </c>
      <c r="B169" s="112" t="s">
        <v>237</v>
      </c>
      <c r="C169" s="64" t="s">
        <v>529</v>
      </c>
      <c r="D169" s="65"/>
      <c r="E169" s="65">
        <f t="shared" ref="E169:E181" si="33">N169/12</f>
        <v>26666.666666666668</v>
      </c>
      <c r="F169" s="65">
        <v>0</v>
      </c>
      <c r="G169" s="65">
        <f t="shared" ref="G169:G216" si="34">E169</f>
        <v>26666.666666666668</v>
      </c>
      <c r="H169" s="65">
        <v>317015.01</v>
      </c>
      <c r="I169" s="81">
        <f t="shared" ref="I169:I173" si="35">G169</f>
        <v>26666.666666666668</v>
      </c>
      <c r="J169" s="66">
        <f t="shared" ref="J169:J216" si="36">+D169+F169+H169</f>
        <v>317015.01</v>
      </c>
      <c r="K169" s="33">
        <f t="shared" ref="K169:K216" si="37">+E169+G169+I169</f>
        <v>80000</v>
      </c>
      <c r="L169" s="67">
        <f t="shared" ref="L169:L216" si="38">+J169/K169*100</f>
        <v>396.26876249999998</v>
      </c>
      <c r="M169" s="66">
        <f>0+J169</f>
        <v>317015.01</v>
      </c>
      <c r="N169" s="82">
        <v>320000</v>
      </c>
      <c r="O169" s="83">
        <f t="shared" ref="O169:O216" si="39">M169/N169*100</f>
        <v>99.067190624999995</v>
      </c>
      <c r="P169" s="60"/>
      <c r="Q169" s="144"/>
      <c r="R169" s="55"/>
      <c r="S169" s="55"/>
    </row>
    <row r="170" spans="1:19" ht="20.100000000000001" customHeight="1" x14ac:dyDescent="0.25">
      <c r="A170" s="1">
        <v>37</v>
      </c>
      <c r="B170" s="112" t="s">
        <v>442</v>
      </c>
      <c r="C170" s="64" t="s">
        <v>530</v>
      </c>
      <c r="D170" s="65"/>
      <c r="E170" s="65">
        <f t="shared" si="33"/>
        <v>708.33333333333337</v>
      </c>
      <c r="F170" s="35">
        <v>0</v>
      </c>
      <c r="G170" s="65">
        <f t="shared" si="34"/>
        <v>708.33333333333337</v>
      </c>
      <c r="H170" s="65">
        <v>0</v>
      </c>
      <c r="I170" s="81">
        <f t="shared" si="35"/>
        <v>708.33333333333337</v>
      </c>
      <c r="J170" s="66">
        <f t="shared" si="36"/>
        <v>0</v>
      </c>
      <c r="K170" s="33">
        <f t="shared" si="37"/>
        <v>2125</v>
      </c>
      <c r="L170" s="67">
        <f t="shared" si="38"/>
        <v>0</v>
      </c>
      <c r="M170" s="66">
        <f>0+J170</f>
        <v>0</v>
      </c>
      <c r="N170" s="82">
        <v>8500</v>
      </c>
      <c r="O170" s="83">
        <f t="shared" si="39"/>
        <v>0</v>
      </c>
      <c r="P170" s="60"/>
      <c r="Q170" s="144"/>
      <c r="R170" s="55"/>
      <c r="S170" s="55"/>
    </row>
    <row r="171" spans="1:19" ht="20.100000000000001" customHeight="1" x14ac:dyDescent="0.25">
      <c r="A171" s="1">
        <v>38</v>
      </c>
      <c r="B171" s="112" t="s">
        <v>443</v>
      </c>
      <c r="C171" s="64" t="s">
        <v>531</v>
      </c>
      <c r="D171" s="128"/>
      <c r="E171" s="65">
        <f t="shared" si="33"/>
        <v>708.33333333333337</v>
      </c>
      <c r="F171" s="135">
        <v>0</v>
      </c>
      <c r="G171" s="65">
        <f t="shared" si="34"/>
        <v>708.33333333333337</v>
      </c>
      <c r="H171" s="65">
        <v>0</v>
      </c>
      <c r="I171" s="81">
        <f t="shared" si="35"/>
        <v>708.33333333333337</v>
      </c>
      <c r="J171" s="66">
        <f t="shared" si="36"/>
        <v>0</v>
      </c>
      <c r="K171" s="33">
        <f t="shared" si="37"/>
        <v>2125</v>
      </c>
      <c r="L171" s="67">
        <f t="shared" si="38"/>
        <v>0</v>
      </c>
      <c r="M171" s="66">
        <f>0+J171</f>
        <v>0</v>
      </c>
      <c r="N171" s="82">
        <v>8500</v>
      </c>
      <c r="O171" s="83">
        <f t="shared" si="39"/>
        <v>0</v>
      </c>
      <c r="P171" s="60"/>
      <c r="Q171" s="144"/>
      <c r="R171" s="55"/>
      <c r="S171" s="55"/>
    </row>
    <row r="172" spans="1:19" ht="20.100000000000001" customHeight="1" x14ac:dyDescent="0.25">
      <c r="A172" s="1">
        <v>39</v>
      </c>
      <c r="B172" s="112" t="s">
        <v>238</v>
      </c>
      <c r="C172" s="64" t="s">
        <v>532</v>
      </c>
      <c r="D172" s="35">
        <v>6400.01</v>
      </c>
      <c r="E172" s="65">
        <f t="shared" si="33"/>
        <v>4833.333333333333</v>
      </c>
      <c r="F172" s="139">
        <v>0</v>
      </c>
      <c r="G172" s="65">
        <f t="shared" si="34"/>
        <v>4833.333333333333</v>
      </c>
      <c r="H172" s="65">
        <v>0</v>
      </c>
      <c r="I172" s="81">
        <f t="shared" si="35"/>
        <v>4833.333333333333</v>
      </c>
      <c r="J172" s="66">
        <f t="shared" si="36"/>
        <v>6400.01</v>
      </c>
      <c r="K172" s="33">
        <f t="shared" si="37"/>
        <v>14500</v>
      </c>
      <c r="L172" s="67">
        <f t="shared" si="38"/>
        <v>44.137999999999998</v>
      </c>
      <c r="M172" s="66">
        <f>34954.71+J172</f>
        <v>41354.720000000001</v>
      </c>
      <c r="N172" s="82">
        <v>58000</v>
      </c>
      <c r="O172" s="83">
        <f t="shared" si="39"/>
        <v>71.301241379310341</v>
      </c>
      <c r="P172" s="60"/>
      <c r="Q172" s="144"/>
      <c r="R172" s="55"/>
      <c r="S172" s="55"/>
    </row>
    <row r="173" spans="1:19" ht="20.100000000000001" customHeight="1" x14ac:dyDescent="0.25">
      <c r="A173" s="1">
        <v>40</v>
      </c>
      <c r="B173" s="112" t="s">
        <v>239</v>
      </c>
      <c r="C173" s="64" t="s">
        <v>533</v>
      </c>
      <c r="D173" s="129"/>
      <c r="E173" s="65">
        <f t="shared" si="33"/>
        <v>1719.7466666666667</v>
      </c>
      <c r="F173" s="135">
        <v>0</v>
      </c>
      <c r="G173" s="65">
        <f t="shared" si="34"/>
        <v>1719.7466666666667</v>
      </c>
      <c r="H173" s="65">
        <v>0</v>
      </c>
      <c r="I173" s="81">
        <f t="shared" si="35"/>
        <v>1719.7466666666667</v>
      </c>
      <c r="J173" s="66">
        <f t="shared" si="36"/>
        <v>0</v>
      </c>
      <c r="K173" s="33">
        <f t="shared" si="37"/>
        <v>5159.24</v>
      </c>
      <c r="L173" s="67">
        <f t="shared" si="38"/>
        <v>0</v>
      </c>
      <c r="M173" s="66">
        <f>20636.96+J173</f>
        <v>20636.96</v>
      </c>
      <c r="N173" s="82">
        <v>20636.96</v>
      </c>
      <c r="O173" s="83">
        <f t="shared" si="39"/>
        <v>100</v>
      </c>
      <c r="P173" s="60"/>
      <c r="Q173" s="144"/>
      <c r="R173" s="55"/>
      <c r="S173" s="55"/>
    </row>
    <row r="174" spans="1:19" ht="20.100000000000001" customHeight="1" x14ac:dyDescent="0.25">
      <c r="A174" s="1">
        <v>41</v>
      </c>
      <c r="B174" s="112" t="s">
        <v>240</v>
      </c>
      <c r="C174" s="64" t="s">
        <v>534</v>
      </c>
      <c r="D174" s="130"/>
      <c r="E174" s="65">
        <f t="shared" si="33"/>
        <v>1166.6666666666667</v>
      </c>
      <c r="F174" s="139">
        <v>0</v>
      </c>
      <c r="G174" s="65">
        <f t="shared" si="34"/>
        <v>1166.6666666666667</v>
      </c>
      <c r="H174" s="65">
        <v>0</v>
      </c>
      <c r="I174" s="81">
        <f>G174</f>
        <v>1166.6666666666667</v>
      </c>
      <c r="J174" s="66">
        <f t="shared" si="36"/>
        <v>0</v>
      </c>
      <c r="K174" s="33">
        <f t="shared" si="37"/>
        <v>3500</v>
      </c>
      <c r="L174" s="67">
        <f t="shared" si="38"/>
        <v>0</v>
      </c>
      <c r="M174" s="66">
        <f>0+J174</f>
        <v>0</v>
      </c>
      <c r="N174" s="82">
        <v>14000</v>
      </c>
      <c r="O174" s="83">
        <f t="shared" si="39"/>
        <v>0</v>
      </c>
      <c r="P174" s="60"/>
      <c r="Q174" s="144"/>
      <c r="R174" s="55"/>
      <c r="S174" s="55"/>
    </row>
    <row r="175" spans="1:19" ht="20.100000000000001" customHeight="1" x14ac:dyDescent="0.25">
      <c r="A175" s="1">
        <v>42</v>
      </c>
      <c r="B175" s="112" t="s">
        <v>241</v>
      </c>
      <c r="C175" s="64" t="s">
        <v>535</v>
      </c>
      <c r="D175" s="35"/>
      <c r="E175" s="65">
        <f t="shared" si="33"/>
        <v>2500</v>
      </c>
      <c r="F175" s="135">
        <v>0</v>
      </c>
      <c r="G175" s="65">
        <f t="shared" si="34"/>
        <v>2500</v>
      </c>
      <c r="H175" s="65">
        <v>0</v>
      </c>
      <c r="I175" s="81">
        <f t="shared" ref="I175:I216" si="40">G175</f>
        <v>2500</v>
      </c>
      <c r="J175" s="66">
        <f t="shared" si="36"/>
        <v>0</v>
      </c>
      <c r="K175" s="33">
        <f t="shared" si="37"/>
        <v>7500</v>
      </c>
      <c r="L175" s="67">
        <f t="shared" si="38"/>
        <v>0</v>
      </c>
      <c r="M175" s="66">
        <f>22914+J175</f>
        <v>22914</v>
      </c>
      <c r="N175" s="82">
        <v>30000</v>
      </c>
      <c r="O175" s="83">
        <f t="shared" si="39"/>
        <v>76.38000000000001</v>
      </c>
      <c r="P175" s="60"/>
      <c r="Q175" s="144"/>
      <c r="R175" s="55"/>
      <c r="S175" s="55"/>
    </row>
    <row r="176" spans="1:19" ht="20.100000000000001" customHeight="1" x14ac:dyDescent="0.25">
      <c r="A176" s="1">
        <v>43</v>
      </c>
      <c r="B176" s="112" t="s">
        <v>444</v>
      </c>
      <c r="C176" s="64" t="s">
        <v>536</v>
      </c>
      <c r="D176" s="65"/>
      <c r="E176" s="65">
        <f t="shared" si="33"/>
        <v>4166.666666666667</v>
      </c>
      <c r="F176" s="65">
        <v>23200</v>
      </c>
      <c r="G176" s="65">
        <f t="shared" si="34"/>
        <v>4166.666666666667</v>
      </c>
      <c r="H176" s="65">
        <v>6098.4</v>
      </c>
      <c r="I176" s="81">
        <f t="shared" si="40"/>
        <v>4166.666666666667</v>
      </c>
      <c r="J176" s="66">
        <f t="shared" si="36"/>
        <v>29298.400000000001</v>
      </c>
      <c r="K176" s="33">
        <f t="shared" si="37"/>
        <v>12500</v>
      </c>
      <c r="L176" s="67">
        <f t="shared" si="38"/>
        <v>234.38720000000001</v>
      </c>
      <c r="M176" s="66">
        <f>19627.2+J176</f>
        <v>48925.600000000006</v>
      </c>
      <c r="N176" s="82">
        <v>50000</v>
      </c>
      <c r="O176" s="83">
        <f t="shared" si="39"/>
        <v>97.85120000000002</v>
      </c>
      <c r="P176" s="60"/>
      <c r="Q176" s="144"/>
      <c r="R176" s="55"/>
      <c r="S176" s="55"/>
    </row>
    <row r="177" spans="1:19" ht="20.100000000000001" customHeight="1" x14ac:dyDescent="0.25">
      <c r="A177" s="1">
        <v>44</v>
      </c>
      <c r="B177" s="112" t="s">
        <v>445</v>
      </c>
      <c r="C177" s="64" t="s">
        <v>537</v>
      </c>
      <c r="D177" s="35"/>
      <c r="E177" s="65">
        <f t="shared" si="33"/>
        <v>2500</v>
      </c>
      <c r="F177" s="65">
        <v>0</v>
      </c>
      <c r="G177" s="65">
        <f t="shared" si="34"/>
        <v>2500</v>
      </c>
      <c r="H177" s="65">
        <v>10000</v>
      </c>
      <c r="I177" s="81">
        <f t="shared" si="40"/>
        <v>2500</v>
      </c>
      <c r="J177" s="66">
        <f t="shared" si="36"/>
        <v>10000</v>
      </c>
      <c r="K177" s="33">
        <f t="shared" si="37"/>
        <v>7500</v>
      </c>
      <c r="L177" s="67">
        <f t="shared" si="38"/>
        <v>133.33333333333331</v>
      </c>
      <c r="M177" s="66">
        <f>0+J177</f>
        <v>10000</v>
      </c>
      <c r="N177" s="82">
        <v>30000</v>
      </c>
      <c r="O177" s="83">
        <f t="shared" si="39"/>
        <v>33.333333333333329</v>
      </c>
      <c r="P177" s="60"/>
      <c r="Q177" s="144"/>
      <c r="R177" s="55"/>
      <c r="S177" s="55"/>
    </row>
    <row r="178" spans="1:19" ht="20.100000000000001" customHeight="1" x14ac:dyDescent="0.25">
      <c r="A178" s="1">
        <v>45</v>
      </c>
      <c r="B178" s="112" t="s">
        <v>242</v>
      </c>
      <c r="C178" s="64" t="s">
        <v>538</v>
      </c>
      <c r="D178" s="65"/>
      <c r="E178" s="65">
        <f t="shared" si="33"/>
        <v>2500</v>
      </c>
      <c r="F178" s="65">
        <v>0</v>
      </c>
      <c r="G178" s="65">
        <f t="shared" si="34"/>
        <v>2500</v>
      </c>
      <c r="H178" s="65">
        <v>0</v>
      </c>
      <c r="I178" s="81">
        <f t="shared" si="40"/>
        <v>2500</v>
      </c>
      <c r="J178" s="66">
        <f t="shared" si="36"/>
        <v>0</v>
      </c>
      <c r="K178" s="33">
        <f t="shared" si="37"/>
        <v>7500</v>
      </c>
      <c r="L178" s="67">
        <f t="shared" si="38"/>
        <v>0</v>
      </c>
      <c r="M178" s="66">
        <f>0+J178</f>
        <v>0</v>
      </c>
      <c r="N178" s="82">
        <v>30000</v>
      </c>
      <c r="O178" s="83">
        <f t="shared" si="39"/>
        <v>0</v>
      </c>
      <c r="P178" s="60"/>
      <c r="Q178" s="144"/>
      <c r="R178" s="55"/>
      <c r="S178" s="55"/>
    </row>
    <row r="179" spans="1:19" ht="20.100000000000001" customHeight="1" x14ac:dyDescent="0.25">
      <c r="A179" s="1">
        <v>46</v>
      </c>
      <c r="B179" s="112" t="s">
        <v>446</v>
      </c>
      <c r="C179" s="64" t="s">
        <v>539</v>
      </c>
      <c r="D179" s="65">
        <v>21442.65</v>
      </c>
      <c r="E179" s="65">
        <f t="shared" si="33"/>
        <v>3750</v>
      </c>
      <c r="F179" s="65">
        <v>9583</v>
      </c>
      <c r="G179" s="65">
        <f t="shared" si="34"/>
        <v>3750</v>
      </c>
      <c r="H179" s="65">
        <v>0</v>
      </c>
      <c r="I179" s="81">
        <f t="shared" si="40"/>
        <v>3750</v>
      </c>
      <c r="J179" s="66">
        <f t="shared" si="36"/>
        <v>31025.65</v>
      </c>
      <c r="K179" s="33">
        <f t="shared" si="37"/>
        <v>11250</v>
      </c>
      <c r="L179" s="67">
        <f t="shared" si="38"/>
        <v>275.78355555555561</v>
      </c>
      <c r="M179" s="66">
        <f>25675.65+J179</f>
        <v>56701.3</v>
      </c>
      <c r="N179" s="82">
        <v>45000</v>
      </c>
      <c r="O179" s="83">
        <f t="shared" si="39"/>
        <v>126.00288888888889</v>
      </c>
      <c r="P179" s="60"/>
      <c r="Q179" s="144"/>
      <c r="R179" s="55"/>
      <c r="S179" s="55"/>
    </row>
    <row r="180" spans="1:19" ht="20.100000000000001" customHeight="1" x14ac:dyDescent="0.25">
      <c r="A180" s="1">
        <v>47</v>
      </c>
      <c r="B180" s="112" t="s">
        <v>540</v>
      </c>
      <c r="C180" s="64" t="s">
        <v>541</v>
      </c>
      <c r="D180" s="65">
        <v>8607.25</v>
      </c>
      <c r="E180" s="65">
        <f t="shared" si="33"/>
        <v>791.66666666666663</v>
      </c>
      <c r="F180" s="65"/>
      <c r="G180" s="65">
        <f t="shared" si="34"/>
        <v>791.66666666666663</v>
      </c>
      <c r="H180" s="65">
        <v>0</v>
      </c>
      <c r="I180" s="81">
        <f t="shared" si="40"/>
        <v>791.66666666666663</v>
      </c>
      <c r="J180" s="66">
        <f t="shared" si="36"/>
        <v>8607.25</v>
      </c>
      <c r="K180" s="65">
        <f t="shared" si="37"/>
        <v>2375</v>
      </c>
      <c r="L180" s="67">
        <f t="shared" si="38"/>
        <v>362.41052631578947</v>
      </c>
      <c r="M180" s="66">
        <f>0+J180</f>
        <v>8607.25</v>
      </c>
      <c r="N180" s="82">
        <v>9500</v>
      </c>
      <c r="O180" s="83">
        <f t="shared" si="39"/>
        <v>90.602631578947367</v>
      </c>
      <c r="P180" s="60"/>
      <c r="Q180" s="144"/>
      <c r="R180" s="55"/>
      <c r="S180" s="55"/>
    </row>
    <row r="181" spans="1:19" ht="20.100000000000001" customHeight="1" x14ac:dyDescent="0.25">
      <c r="A181" s="1">
        <v>48</v>
      </c>
      <c r="B181" s="112" t="s">
        <v>447</v>
      </c>
      <c r="C181" s="64" t="s">
        <v>542</v>
      </c>
      <c r="D181" s="65">
        <v>488.36</v>
      </c>
      <c r="E181" s="65">
        <f t="shared" si="33"/>
        <v>333.33333333333331</v>
      </c>
      <c r="F181" s="135"/>
      <c r="G181" s="65">
        <f t="shared" si="34"/>
        <v>333.33333333333331</v>
      </c>
      <c r="H181" s="65">
        <v>0</v>
      </c>
      <c r="I181" s="81">
        <f t="shared" si="40"/>
        <v>333.33333333333331</v>
      </c>
      <c r="J181" s="66">
        <f t="shared" si="36"/>
        <v>488.36</v>
      </c>
      <c r="K181" s="33">
        <f t="shared" si="37"/>
        <v>1000</v>
      </c>
      <c r="L181" s="67">
        <f t="shared" si="38"/>
        <v>48.835999999999999</v>
      </c>
      <c r="M181" s="66">
        <f>0+J181</f>
        <v>488.36</v>
      </c>
      <c r="N181" s="82">
        <v>4000</v>
      </c>
      <c r="O181" s="83">
        <f t="shared" si="39"/>
        <v>12.209</v>
      </c>
      <c r="P181" s="60"/>
      <c r="Q181" s="144"/>
      <c r="R181" s="55"/>
      <c r="S181" s="55"/>
    </row>
    <row r="182" spans="1:19" ht="20.100000000000001" customHeight="1" x14ac:dyDescent="0.25">
      <c r="A182" s="1">
        <v>49</v>
      </c>
      <c r="B182" s="112" t="s">
        <v>543</v>
      </c>
      <c r="C182" s="64" t="s">
        <v>544</v>
      </c>
      <c r="D182" s="35"/>
      <c r="E182" s="65">
        <f t="shared" ref="E182:E216" si="41">N182/12</f>
        <v>13333.333333333334</v>
      </c>
      <c r="F182" s="135">
        <v>141831.42000000001</v>
      </c>
      <c r="G182" s="65">
        <f t="shared" si="34"/>
        <v>13333.333333333334</v>
      </c>
      <c r="H182" s="65">
        <v>0</v>
      </c>
      <c r="I182" s="81">
        <f t="shared" si="40"/>
        <v>13333.333333333334</v>
      </c>
      <c r="J182" s="66">
        <f t="shared" si="36"/>
        <v>141831.42000000001</v>
      </c>
      <c r="K182" s="33">
        <f t="shared" si="37"/>
        <v>40000</v>
      </c>
      <c r="L182" s="67">
        <f t="shared" si="38"/>
        <v>354.57855000000006</v>
      </c>
      <c r="M182" s="66">
        <f>0+J182</f>
        <v>141831.42000000001</v>
      </c>
      <c r="N182" s="82">
        <v>160000</v>
      </c>
      <c r="O182" s="83">
        <f t="shared" si="39"/>
        <v>88.644637500000016</v>
      </c>
      <c r="P182" s="60"/>
      <c r="Q182" s="144"/>
      <c r="R182" s="55"/>
      <c r="S182" s="55"/>
    </row>
    <row r="183" spans="1:19" ht="20.100000000000001" customHeight="1" x14ac:dyDescent="0.25">
      <c r="A183" s="1">
        <v>50</v>
      </c>
      <c r="B183" s="113" t="s">
        <v>448</v>
      </c>
      <c r="C183" s="80" t="s">
        <v>545</v>
      </c>
      <c r="D183" s="134">
        <v>5800</v>
      </c>
      <c r="E183" s="33">
        <f t="shared" si="41"/>
        <v>833.33333333333337</v>
      </c>
      <c r="F183" s="35"/>
      <c r="G183" s="33">
        <f t="shared" si="34"/>
        <v>833.33333333333337</v>
      </c>
      <c r="H183" s="33">
        <v>0</v>
      </c>
      <c r="I183" s="137">
        <f t="shared" si="40"/>
        <v>833.33333333333337</v>
      </c>
      <c r="J183" s="66">
        <f t="shared" si="36"/>
        <v>5800</v>
      </c>
      <c r="K183" s="33">
        <f t="shared" si="37"/>
        <v>2500</v>
      </c>
      <c r="L183" s="133">
        <f t="shared" si="38"/>
        <v>231.99999999999997</v>
      </c>
      <c r="M183" s="66">
        <f>0+J183</f>
        <v>5800</v>
      </c>
      <c r="N183" s="82">
        <v>10000</v>
      </c>
      <c r="O183" s="111">
        <f t="shared" si="39"/>
        <v>57.999999999999993</v>
      </c>
      <c r="P183" s="60"/>
      <c r="Q183" s="144"/>
      <c r="R183" s="55"/>
      <c r="S183" s="55"/>
    </row>
    <row r="184" spans="1:19" ht="20.100000000000001" customHeight="1" x14ac:dyDescent="0.25">
      <c r="A184" s="1">
        <v>51</v>
      </c>
      <c r="B184" s="113" t="s">
        <v>449</v>
      </c>
      <c r="C184" s="80" t="s">
        <v>546</v>
      </c>
      <c r="D184" s="135"/>
      <c r="E184" s="33">
        <f t="shared" si="41"/>
        <v>36703.660833333335</v>
      </c>
      <c r="F184" s="135"/>
      <c r="G184" s="33">
        <f t="shared" si="34"/>
        <v>36703.660833333335</v>
      </c>
      <c r="H184" s="33">
        <v>0</v>
      </c>
      <c r="I184" s="137">
        <f t="shared" si="40"/>
        <v>36703.660833333335</v>
      </c>
      <c r="J184" s="66">
        <f t="shared" si="36"/>
        <v>0</v>
      </c>
      <c r="K184" s="33">
        <f t="shared" si="37"/>
        <v>110110.98250000001</v>
      </c>
      <c r="L184" s="83">
        <f t="shared" si="38"/>
        <v>0</v>
      </c>
      <c r="M184" s="66">
        <f>440443.93+J184</f>
        <v>440443.93</v>
      </c>
      <c r="N184" s="82">
        <v>440443.93</v>
      </c>
      <c r="O184" s="111">
        <f t="shared" si="39"/>
        <v>100</v>
      </c>
      <c r="P184" s="60"/>
      <c r="Q184" s="144"/>
      <c r="R184" s="55"/>
      <c r="S184" s="55"/>
    </row>
    <row r="185" spans="1:19" ht="20.100000000000001" customHeight="1" x14ac:dyDescent="0.25">
      <c r="A185" s="1">
        <v>52</v>
      </c>
      <c r="B185" s="113" t="s">
        <v>450</v>
      </c>
      <c r="C185" s="80" t="s">
        <v>547</v>
      </c>
      <c r="D185" s="135"/>
      <c r="E185" s="33">
        <f t="shared" si="41"/>
        <v>37491.342499999999</v>
      </c>
      <c r="F185" s="35">
        <v>11020</v>
      </c>
      <c r="G185" s="33">
        <f t="shared" si="34"/>
        <v>37491.342499999999</v>
      </c>
      <c r="H185" s="33">
        <v>0</v>
      </c>
      <c r="I185" s="137">
        <f t="shared" si="40"/>
        <v>37491.342499999999</v>
      </c>
      <c r="J185" s="66">
        <f t="shared" si="36"/>
        <v>11020</v>
      </c>
      <c r="K185" s="33">
        <f t="shared" si="37"/>
        <v>112474.0275</v>
      </c>
      <c r="L185" s="133">
        <f t="shared" si="38"/>
        <v>9.7978175450327853</v>
      </c>
      <c r="M185" s="66">
        <f>438876.11+J185</f>
        <v>449896.11</v>
      </c>
      <c r="N185" s="82">
        <v>449896.11</v>
      </c>
      <c r="O185" s="111">
        <f t="shared" si="39"/>
        <v>100</v>
      </c>
      <c r="P185" s="60"/>
      <c r="Q185" s="144"/>
      <c r="R185" s="55"/>
      <c r="S185" s="55"/>
    </row>
    <row r="186" spans="1:19" ht="20.100000000000001" customHeight="1" x14ac:dyDescent="0.25">
      <c r="A186" s="1">
        <v>53</v>
      </c>
      <c r="B186" s="113" t="s">
        <v>451</v>
      </c>
      <c r="C186" s="80" t="s">
        <v>548</v>
      </c>
      <c r="D186" s="135"/>
      <c r="E186" s="33">
        <f t="shared" si="41"/>
        <v>8333.3333333333339</v>
      </c>
      <c r="F186" s="135"/>
      <c r="G186" s="33">
        <f t="shared" si="34"/>
        <v>8333.3333333333339</v>
      </c>
      <c r="H186" s="33">
        <v>0</v>
      </c>
      <c r="I186" s="137">
        <f t="shared" si="40"/>
        <v>8333.3333333333339</v>
      </c>
      <c r="J186" s="66">
        <f t="shared" si="36"/>
        <v>0</v>
      </c>
      <c r="K186" s="33">
        <f t="shared" si="37"/>
        <v>25000</v>
      </c>
      <c r="L186" s="111">
        <f t="shared" si="38"/>
        <v>0</v>
      </c>
      <c r="M186" s="66">
        <f>0+J186</f>
        <v>0</v>
      </c>
      <c r="N186" s="82">
        <v>100000</v>
      </c>
      <c r="O186" s="111">
        <f t="shared" si="39"/>
        <v>0</v>
      </c>
      <c r="P186" s="60"/>
      <c r="Q186" s="144"/>
      <c r="R186" s="55"/>
      <c r="S186" s="55"/>
    </row>
    <row r="187" spans="1:19" ht="20.100000000000001" customHeight="1" x14ac:dyDescent="0.25">
      <c r="A187" s="1">
        <v>54</v>
      </c>
      <c r="B187" s="113" t="s">
        <v>452</v>
      </c>
      <c r="C187" s="80" t="s">
        <v>549</v>
      </c>
      <c r="D187" s="135"/>
      <c r="E187" s="33">
        <f t="shared" si="41"/>
        <v>1333.3333333333333</v>
      </c>
      <c r="F187" s="135"/>
      <c r="G187" s="33">
        <f t="shared" si="34"/>
        <v>1333.3333333333333</v>
      </c>
      <c r="H187" s="33">
        <v>0</v>
      </c>
      <c r="I187" s="137">
        <f t="shared" si="40"/>
        <v>1333.3333333333333</v>
      </c>
      <c r="J187" s="66">
        <f t="shared" si="36"/>
        <v>0</v>
      </c>
      <c r="K187" s="33">
        <f t="shared" si="37"/>
        <v>4000</v>
      </c>
      <c r="L187" s="111">
        <f t="shared" si="38"/>
        <v>0</v>
      </c>
      <c r="M187" s="66">
        <f>0+J187</f>
        <v>0</v>
      </c>
      <c r="N187" s="82">
        <v>16000</v>
      </c>
      <c r="O187" s="111">
        <f t="shared" si="39"/>
        <v>0</v>
      </c>
      <c r="P187" s="60"/>
      <c r="Q187" s="144"/>
      <c r="R187" s="55"/>
      <c r="S187" s="55"/>
    </row>
    <row r="188" spans="1:19" ht="20.100000000000001" customHeight="1" x14ac:dyDescent="0.25">
      <c r="A188" s="1">
        <v>55</v>
      </c>
      <c r="B188" s="113" t="s">
        <v>453</v>
      </c>
      <c r="C188" s="80" t="s">
        <v>550</v>
      </c>
      <c r="D188" s="135"/>
      <c r="E188" s="33">
        <f t="shared" si="41"/>
        <v>8333.3333333333339</v>
      </c>
      <c r="F188" s="135"/>
      <c r="G188" s="33">
        <f t="shared" si="34"/>
        <v>8333.3333333333339</v>
      </c>
      <c r="H188" s="33">
        <v>0</v>
      </c>
      <c r="I188" s="137">
        <f t="shared" si="40"/>
        <v>8333.3333333333339</v>
      </c>
      <c r="J188" s="66">
        <f t="shared" si="36"/>
        <v>0</v>
      </c>
      <c r="K188" s="33">
        <f t="shared" si="37"/>
        <v>25000</v>
      </c>
      <c r="L188" s="83">
        <f t="shared" si="38"/>
        <v>0</v>
      </c>
      <c r="M188" s="66">
        <f>0+J188</f>
        <v>0</v>
      </c>
      <c r="N188" s="82">
        <v>100000</v>
      </c>
      <c r="O188" s="111">
        <f t="shared" si="39"/>
        <v>0</v>
      </c>
      <c r="P188" s="60"/>
      <c r="Q188" s="144"/>
      <c r="R188" s="55"/>
      <c r="S188" s="55"/>
    </row>
    <row r="189" spans="1:19" ht="20.100000000000001" customHeight="1" x14ac:dyDescent="0.25">
      <c r="A189" s="1">
        <v>56</v>
      </c>
      <c r="B189" s="113" t="s">
        <v>243</v>
      </c>
      <c r="C189" s="80" t="s">
        <v>551</v>
      </c>
      <c r="D189" s="35"/>
      <c r="E189" s="33">
        <f t="shared" si="41"/>
        <v>4166.666666666667</v>
      </c>
      <c r="F189" s="135"/>
      <c r="G189" s="33">
        <f t="shared" si="34"/>
        <v>4166.666666666667</v>
      </c>
      <c r="H189" s="33">
        <v>0</v>
      </c>
      <c r="I189" s="132">
        <f t="shared" si="40"/>
        <v>4166.666666666667</v>
      </c>
      <c r="J189" s="66">
        <f t="shared" si="36"/>
        <v>0</v>
      </c>
      <c r="K189" s="33">
        <f t="shared" si="37"/>
        <v>12500</v>
      </c>
      <c r="L189" s="111">
        <f t="shared" si="38"/>
        <v>0</v>
      </c>
      <c r="M189" s="66">
        <f>0+J189</f>
        <v>0</v>
      </c>
      <c r="N189" s="82">
        <v>50000</v>
      </c>
      <c r="O189" s="111">
        <f t="shared" si="39"/>
        <v>0</v>
      </c>
      <c r="P189" s="60"/>
      <c r="Q189" s="144"/>
      <c r="R189" s="55"/>
      <c r="S189" s="55"/>
    </row>
    <row r="190" spans="1:19" ht="20.100000000000001" customHeight="1" x14ac:dyDescent="0.25">
      <c r="A190" s="1">
        <v>58</v>
      </c>
      <c r="B190" s="113" t="s">
        <v>245</v>
      </c>
      <c r="C190" s="80" t="s">
        <v>552</v>
      </c>
      <c r="D190" s="135"/>
      <c r="E190" s="33">
        <f t="shared" si="41"/>
        <v>2500</v>
      </c>
      <c r="F190" s="135">
        <v>5521.27</v>
      </c>
      <c r="G190" s="33">
        <f t="shared" si="34"/>
        <v>2500</v>
      </c>
      <c r="H190" s="33">
        <v>3680.01</v>
      </c>
      <c r="I190" s="137">
        <f t="shared" si="40"/>
        <v>2500</v>
      </c>
      <c r="J190" s="66">
        <f t="shared" si="36"/>
        <v>9201.2800000000007</v>
      </c>
      <c r="K190" s="33">
        <f t="shared" si="37"/>
        <v>7500</v>
      </c>
      <c r="L190" s="133">
        <f t="shared" si="38"/>
        <v>122.68373333333334</v>
      </c>
      <c r="M190" s="66">
        <f>4768.18+J190</f>
        <v>13969.460000000001</v>
      </c>
      <c r="N190" s="82">
        <v>30000</v>
      </c>
      <c r="O190" s="111">
        <f t="shared" si="39"/>
        <v>46.564866666666674</v>
      </c>
      <c r="P190" s="60"/>
      <c r="Q190" s="144"/>
      <c r="R190" s="55"/>
      <c r="S190" s="55"/>
    </row>
    <row r="191" spans="1:19" ht="20.100000000000001" customHeight="1" x14ac:dyDescent="0.25">
      <c r="A191" s="1">
        <v>59</v>
      </c>
      <c r="B191" s="113" t="s">
        <v>246</v>
      </c>
      <c r="C191" s="80" t="s">
        <v>553</v>
      </c>
      <c r="D191" s="135"/>
      <c r="E191" s="33">
        <f t="shared" si="41"/>
        <v>2083.3333333333335</v>
      </c>
      <c r="F191" s="35"/>
      <c r="G191" s="33">
        <f t="shared" si="34"/>
        <v>2083.3333333333335</v>
      </c>
      <c r="H191" s="33">
        <v>0</v>
      </c>
      <c r="I191" s="132">
        <f t="shared" si="40"/>
        <v>2083.3333333333335</v>
      </c>
      <c r="J191" s="66">
        <f t="shared" si="36"/>
        <v>0</v>
      </c>
      <c r="K191" s="33">
        <f t="shared" si="37"/>
        <v>6250</v>
      </c>
      <c r="L191" s="111">
        <f t="shared" si="38"/>
        <v>0</v>
      </c>
      <c r="M191" s="66">
        <f>0+J191</f>
        <v>0</v>
      </c>
      <c r="N191" s="82">
        <v>25000</v>
      </c>
      <c r="O191" s="111">
        <f t="shared" si="39"/>
        <v>0</v>
      </c>
      <c r="P191" s="60"/>
      <c r="Q191" s="144"/>
      <c r="R191" s="55"/>
      <c r="S191" s="55"/>
    </row>
    <row r="192" spans="1:19" ht="20.100000000000001" customHeight="1" x14ac:dyDescent="0.25">
      <c r="A192" s="1">
        <v>60</v>
      </c>
      <c r="B192" s="113" t="s">
        <v>247</v>
      </c>
      <c r="C192" s="80" t="s">
        <v>554</v>
      </c>
      <c r="D192" s="35"/>
      <c r="E192" s="33">
        <f t="shared" si="41"/>
        <v>750</v>
      </c>
      <c r="F192" s="135"/>
      <c r="G192" s="33">
        <f t="shared" si="34"/>
        <v>750</v>
      </c>
      <c r="H192" s="33">
        <v>656</v>
      </c>
      <c r="I192" s="138">
        <f t="shared" si="40"/>
        <v>750</v>
      </c>
      <c r="J192" s="66">
        <f t="shared" si="36"/>
        <v>656</v>
      </c>
      <c r="K192" s="33">
        <f t="shared" si="37"/>
        <v>2250</v>
      </c>
      <c r="L192" s="111">
        <f t="shared" si="38"/>
        <v>29.155555555555559</v>
      </c>
      <c r="M192" s="66">
        <f>2999.73+J192</f>
        <v>3655.73</v>
      </c>
      <c r="N192" s="82">
        <v>9000</v>
      </c>
      <c r="O192" s="111">
        <f t="shared" si="39"/>
        <v>40.61922222222222</v>
      </c>
      <c r="P192" s="60"/>
      <c r="Q192" s="144"/>
      <c r="R192" s="55"/>
      <c r="S192" s="55"/>
    </row>
    <row r="193" spans="1:19" ht="20.100000000000001" customHeight="1" x14ac:dyDescent="0.25">
      <c r="A193" s="1">
        <v>61</v>
      </c>
      <c r="B193" s="113" t="s">
        <v>248</v>
      </c>
      <c r="C193" s="80" t="s">
        <v>555</v>
      </c>
      <c r="D193" s="135"/>
      <c r="E193" s="33">
        <f t="shared" si="41"/>
        <v>8750</v>
      </c>
      <c r="F193" s="135"/>
      <c r="G193" s="33">
        <f t="shared" si="34"/>
        <v>8750</v>
      </c>
      <c r="H193" s="33">
        <v>0</v>
      </c>
      <c r="I193" s="137">
        <f t="shared" si="40"/>
        <v>8750</v>
      </c>
      <c r="J193" s="66">
        <f t="shared" si="36"/>
        <v>0</v>
      </c>
      <c r="K193" s="33">
        <f t="shared" si="37"/>
        <v>26250</v>
      </c>
      <c r="L193" s="111">
        <f t="shared" si="38"/>
        <v>0</v>
      </c>
      <c r="M193" s="66">
        <f>82500+J193</f>
        <v>82500</v>
      </c>
      <c r="N193" s="82">
        <v>105000</v>
      </c>
      <c r="O193" s="111">
        <f t="shared" si="39"/>
        <v>78.571428571428569</v>
      </c>
      <c r="P193" s="60"/>
      <c r="Q193" s="144"/>
      <c r="R193" s="55"/>
      <c r="S193" s="55"/>
    </row>
    <row r="194" spans="1:19" ht="20.100000000000001" customHeight="1" x14ac:dyDescent="0.25">
      <c r="A194" s="1">
        <v>62</v>
      </c>
      <c r="B194" s="113" t="s">
        <v>454</v>
      </c>
      <c r="C194" s="80" t="s">
        <v>556</v>
      </c>
      <c r="D194" s="135"/>
      <c r="E194" s="33">
        <f t="shared" si="41"/>
        <v>20000</v>
      </c>
      <c r="F194" s="135"/>
      <c r="G194" s="33">
        <f t="shared" si="34"/>
        <v>20000</v>
      </c>
      <c r="H194" s="33">
        <v>0</v>
      </c>
      <c r="I194" s="137">
        <f t="shared" si="40"/>
        <v>20000</v>
      </c>
      <c r="J194" s="66">
        <f t="shared" si="36"/>
        <v>0</v>
      </c>
      <c r="K194" s="33">
        <f t="shared" si="37"/>
        <v>60000</v>
      </c>
      <c r="L194" s="111">
        <f t="shared" si="38"/>
        <v>0</v>
      </c>
      <c r="M194" s="66">
        <f>225000+J194</f>
        <v>225000</v>
      </c>
      <c r="N194" s="82">
        <v>240000</v>
      </c>
      <c r="O194" s="111">
        <f t="shared" si="39"/>
        <v>93.75</v>
      </c>
      <c r="P194" s="60"/>
      <c r="Q194" s="144"/>
      <c r="R194" s="55"/>
      <c r="S194" s="55"/>
    </row>
    <row r="195" spans="1:19" ht="20.100000000000001" customHeight="1" x14ac:dyDescent="0.25">
      <c r="A195" s="1">
        <v>63</v>
      </c>
      <c r="B195" s="113" t="s">
        <v>455</v>
      </c>
      <c r="C195" s="80" t="s">
        <v>557</v>
      </c>
      <c r="D195" s="135">
        <v>2353362.37</v>
      </c>
      <c r="E195" s="33">
        <f t="shared" si="41"/>
        <v>2650077</v>
      </c>
      <c r="F195" s="135">
        <v>2389477.17</v>
      </c>
      <c r="G195" s="33">
        <f t="shared" si="34"/>
        <v>2650077</v>
      </c>
      <c r="H195" s="33">
        <v>2468994.5299999998</v>
      </c>
      <c r="I195" s="137">
        <f t="shared" si="40"/>
        <v>2650077</v>
      </c>
      <c r="J195" s="66">
        <f t="shared" si="36"/>
        <v>7211834.0700000003</v>
      </c>
      <c r="K195" s="33">
        <f t="shared" si="37"/>
        <v>7950231</v>
      </c>
      <c r="L195" s="111">
        <f t="shared" si="38"/>
        <v>90.712258172121039</v>
      </c>
      <c r="M195" s="66">
        <f>14412676.7+J195</f>
        <v>21624510.77</v>
      </c>
      <c r="N195" s="82">
        <v>31800924</v>
      </c>
      <c r="O195" s="111">
        <f t="shared" si="39"/>
        <v>67.999630356652531</v>
      </c>
      <c r="P195" s="60"/>
      <c r="Q195" s="144"/>
      <c r="R195" s="55"/>
      <c r="S195" s="55"/>
    </row>
    <row r="196" spans="1:19" ht="20.100000000000001" customHeight="1" x14ac:dyDescent="0.25">
      <c r="A196" s="1">
        <v>64</v>
      </c>
      <c r="B196" s="113" t="s">
        <v>456</v>
      </c>
      <c r="C196" s="80" t="s">
        <v>558</v>
      </c>
      <c r="D196" s="135"/>
      <c r="E196" s="33">
        <f t="shared" si="41"/>
        <v>833333.33333333337</v>
      </c>
      <c r="F196" s="136"/>
      <c r="G196" s="33">
        <f t="shared" si="34"/>
        <v>833333.33333333337</v>
      </c>
      <c r="H196" s="33">
        <v>0</v>
      </c>
      <c r="I196" s="137">
        <f t="shared" si="40"/>
        <v>833333.33333333337</v>
      </c>
      <c r="J196" s="66">
        <f t="shared" si="36"/>
        <v>0</v>
      </c>
      <c r="K196" s="33">
        <f t="shared" si="37"/>
        <v>2500000</v>
      </c>
      <c r="L196" s="111">
        <f t="shared" si="38"/>
        <v>0</v>
      </c>
      <c r="M196" s="66">
        <f>0+J196</f>
        <v>0</v>
      </c>
      <c r="N196" s="82">
        <v>10000000</v>
      </c>
      <c r="O196" s="111">
        <f t="shared" si="39"/>
        <v>0</v>
      </c>
      <c r="P196" s="60"/>
      <c r="Q196" s="144"/>
      <c r="R196" s="55"/>
      <c r="S196" s="55"/>
    </row>
    <row r="197" spans="1:19" ht="20.100000000000001" customHeight="1" x14ac:dyDescent="0.25">
      <c r="A197" s="1">
        <v>65</v>
      </c>
      <c r="B197" s="113" t="s">
        <v>457</v>
      </c>
      <c r="C197" s="80" t="s">
        <v>559</v>
      </c>
      <c r="D197" s="35"/>
      <c r="E197" s="33">
        <f t="shared" si="41"/>
        <v>16467.916666666668</v>
      </c>
      <c r="F197" s="136">
        <v>114750</v>
      </c>
      <c r="G197" s="33">
        <f t="shared" si="34"/>
        <v>16467.916666666668</v>
      </c>
      <c r="H197" s="33">
        <v>82100</v>
      </c>
      <c r="I197" s="132">
        <f t="shared" si="40"/>
        <v>16467.916666666668</v>
      </c>
      <c r="J197" s="66">
        <f t="shared" si="36"/>
        <v>196850</v>
      </c>
      <c r="K197" s="33">
        <f t="shared" si="37"/>
        <v>49403.75</v>
      </c>
      <c r="L197" s="111">
        <f t="shared" si="38"/>
        <v>398.45153454950281</v>
      </c>
      <c r="M197" s="66">
        <f>0+J197</f>
        <v>196850</v>
      </c>
      <c r="N197" s="82">
        <v>197615</v>
      </c>
      <c r="O197" s="111">
        <f t="shared" si="39"/>
        <v>99.612883637375703</v>
      </c>
      <c r="P197" s="60"/>
      <c r="Q197" s="144"/>
      <c r="R197" s="55"/>
      <c r="S197" s="55"/>
    </row>
    <row r="198" spans="1:19" ht="20.100000000000001" customHeight="1" x14ac:dyDescent="0.25">
      <c r="A198" s="1">
        <v>66</v>
      </c>
      <c r="B198" s="113" t="s">
        <v>458</v>
      </c>
      <c r="C198" s="80" t="s">
        <v>560</v>
      </c>
      <c r="D198" s="135"/>
      <c r="E198" s="33">
        <f t="shared" si="41"/>
        <v>166666.66666666666</v>
      </c>
      <c r="F198" s="136"/>
      <c r="G198" s="33">
        <f t="shared" si="34"/>
        <v>166666.66666666666</v>
      </c>
      <c r="H198" s="33">
        <v>0</v>
      </c>
      <c r="I198" s="138">
        <f t="shared" si="40"/>
        <v>166666.66666666666</v>
      </c>
      <c r="J198" s="66">
        <f t="shared" si="36"/>
        <v>0</v>
      </c>
      <c r="K198" s="33">
        <f t="shared" si="37"/>
        <v>500000</v>
      </c>
      <c r="L198" s="111">
        <f t="shared" si="38"/>
        <v>0</v>
      </c>
      <c r="M198" s="66">
        <f>0+J198</f>
        <v>0</v>
      </c>
      <c r="N198" s="82">
        <v>2000000</v>
      </c>
      <c r="O198" s="111">
        <f t="shared" si="39"/>
        <v>0</v>
      </c>
      <c r="P198" s="60"/>
      <c r="Q198" s="144"/>
      <c r="R198" s="55"/>
      <c r="S198" s="55"/>
    </row>
    <row r="199" spans="1:19" ht="20.100000000000001" customHeight="1" x14ac:dyDescent="0.25">
      <c r="B199" s="113" t="s">
        <v>460</v>
      </c>
      <c r="C199" s="80" t="s">
        <v>586</v>
      </c>
      <c r="D199" s="135"/>
      <c r="E199" s="33">
        <f t="shared" si="41"/>
        <v>19251.334999999999</v>
      </c>
      <c r="F199" s="136">
        <v>124121.06</v>
      </c>
      <c r="G199" s="33">
        <f t="shared" si="34"/>
        <v>19251.334999999999</v>
      </c>
      <c r="H199" s="33">
        <v>106894.96</v>
      </c>
      <c r="I199" s="138">
        <f t="shared" si="40"/>
        <v>19251.334999999999</v>
      </c>
      <c r="J199" s="66">
        <f t="shared" si="36"/>
        <v>231016.02000000002</v>
      </c>
      <c r="K199" s="33">
        <f t="shared" si="37"/>
        <v>57754.004999999997</v>
      </c>
      <c r="L199" s="111">
        <f t="shared" si="38"/>
        <v>400.00000000000011</v>
      </c>
      <c r="M199" s="66">
        <f>0+J199</f>
        <v>231016.02000000002</v>
      </c>
      <c r="N199" s="82">
        <v>231016.02</v>
      </c>
      <c r="O199" s="111">
        <f t="shared" si="39"/>
        <v>100.00000000000003</v>
      </c>
      <c r="P199" s="60"/>
      <c r="Q199" s="144"/>
      <c r="R199" s="55"/>
      <c r="S199" s="55"/>
    </row>
    <row r="200" spans="1:19" ht="20.100000000000001" customHeight="1" x14ac:dyDescent="0.25">
      <c r="B200" s="113" t="s">
        <v>587</v>
      </c>
      <c r="C200" s="80" t="s">
        <v>588</v>
      </c>
      <c r="D200" s="135"/>
      <c r="E200" s="33">
        <f t="shared" si="41"/>
        <v>28846.250833333335</v>
      </c>
      <c r="F200" s="136"/>
      <c r="G200" s="33">
        <f t="shared" si="34"/>
        <v>28846.250833333335</v>
      </c>
      <c r="H200" s="33">
        <v>0</v>
      </c>
      <c r="I200" s="138">
        <f t="shared" si="40"/>
        <v>28846.250833333335</v>
      </c>
      <c r="J200" s="66">
        <f t="shared" si="36"/>
        <v>0</v>
      </c>
      <c r="K200" s="33">
        <f t="shared" si="37"/>
        <v>86538.752500000002</v>
      </c>
      <c r="L200" s="111">
        <f t="shared" si="38"/>
        <v>0</v>
      </c>
      <c r="M200" s="66">
        <f>101655.01+J200</f>
        <v>101655.01</v>
      </c>
      <c r="N200" s="82">
        <v>346155.01</v>
      </c>
      <c r="O200" s="111">
        <f t="shared" si="39"/>
        <v>29.366904150831154</v>
      </c>
      <c r="P200" s="60"/>
      <c r="Q200" s="144"/>
      <c r="R200" s="55"/>
      <c r="S200" s="55"/>
    </row>
    <row r="201" spans="1:19" ht="20.100000000000001" customHeight="1" x14ac:dyDescent="0.25">
      <c r="B201" s="113" t="s">
        <v>461</v>
      </c>
      <c r="C201" s="80" t="s">
        <v>629</v>
      </c>
      <c r="D201" s="135">
        <v>2497.58</v>
      </c>
      <c r="E201" s="33">
        <f t="shared" si="41"/>
        <v>208.14</v>
      </c>
      <c r="F201" s="136"/>
      <c r="G201" s="33">
        <f t="shared" si="34"/>
        <v>208.14</v>
      </c>
      <c r="H201" s="33">
        <v>0</v>
      </c>
      <c r="I201" s="138">
        <f t="shared" si="40"/>
        <v>208.14</v>
      </c>
      <c r="J201" s="66">
        <f t="shared" si="36"/>
        <v>2497.58</v>
      </c>
      <c r="K201" s="33">
        <f t="shared" si="37"/>
        <v>624.41999999999996</v>
      </c>
      <c r="L201" s="111">
        <f t="shared" si="38"/>
        <v>399.98398513820825</v>
      </c>
      <c r="M201" s="66">
        <f>0+J201</f>
        <v>2497.58</v>
      </c>
      <c r="N201" s="82">
        <v>2497.6799999999998</v>
      </c>
      <c r="O201" s="111">
        <f t="shared" si="39"/>
        <v>99.995996284552064</v>
      </c>
      <c r="P201" s="60"/>
      <c r="Q201" s="144"/>
      <c r="R201" s="55"/>
      <c r="S201" s="55"/>
    </row>
    <row r="202" spans="1:19" ht="20.100000000000001" customHeight="1" x14ac:dyDescent="0.25">
      <c r="B202" s="113" t="s">
        <v>462</v>
      </c>
      <c r="C202" s="80" t="s">
        <v>630</v>
      </c>
      <c r="D202" s="135">
        <v>125000</v>
      </c>
      <c r="E202" s="33">
        <f t="shared" si="41"/>
        <v>20833.333333333332</v>
      </c>
      <c r="F202" s="136"/>
      <c r="G202" s="33">
        <f t="shared" si="34"/>
        <v>20833.333333333332</v>
      </c>
      <c r="H202" s="33">
        <v>125000</v>
      </c>
      <c r="I202" s="138">
        <f t="shared" si="40"/>
        <v>20833.333333333332</v>
      </c>
      <c r="J202" s="66">
        <f t="shared" si="36"/>
        <v>250000</v>
      </c>
      <c r="K202" s="33">
        <f t="shared" si="37"/>
        <v>62500</v>
      </c>
      <c r="L202" s="111">
        <f t="shared" si="38"/>
        <v>400</v>
      </c>
      <c r="M202" s="66">
        <f>0+J202</f>
        <v>250000</v>
      </c>
      <c r="N202" s="82">
        <v>250000</v>
      </c>
      <c r="O202" s="111">
        <f t="shared" si="39"/>
        <v>100</v>
      </c>
      <c r="P202" s="60"/>
      <c r="Q202" s="144"/>
      <c r="R202" s="55"/>
      <c r="S202" s="55"/>
    </row>
    <row r="203" spans="1:19" ht="20.100000000000001" customHeight="1" x14ac:dyDescent="0.25">
      <c r="A203" s="1">
        <v>67</v>
      </c>
      <c r="B203" s="113" t="s">
        <v>259</v>
      </c>
      <c r="C203" s="80" t="s">
        <v>561</v>
      </c>
      <c r="D203" s="135">
        <v>600</v>
      </c>
      <c r="E203" s="33">
        <f t="shared" si="41"/>
        <v>145800</v>
      </c>
      <c r="F203" s="136">
        <v>389400</v>
      </c>
      <c r="G203" s="33">
        <f t="shared" si="34"/>
        <v>145800</v>
      </c>
      <c r="H203" s="33">
        <v>194400</v>
      </c>
      <c r="I203" s="138">
        <f t="shared" si="40"/>
        <v>145800</v>
      </c>
      <c r="J203" s="66">
        <f t="shared" si="36"/>
        <v>584400</v>
      </c>
      <c r="K203" s="33">
        <f t="shared" si="37"/>
        <v>437400</v>
      </c>
      <c r="L203" s="111">
        <f t="shared" si="38"/>
        <v>133.6076817558299</v>
      </c>
      <c r="M203" s="66">
        <f>582000+J203</f>
        <v>1166400</v>
      </c>
      <c r="N203" s="82">
        <v>1749600</v>
      </c>
      <c r="O203" s="111">
        <f t="shared" si="39"/>
        <v>66.666666666666657</v>
      </c>
      <c r="P203" s="60"/>
      <c r="Q203" s="144"/>
      <c r="R203" s="55"/>
      <c r="S203" s="55"/>
    </row>
    <row r="204" spans="1:19" ht="20.100000000000001" customHeight="1" x14ac:dyDescent="0.25">
      <c r="A204" s="1">
        <v>69</v>
      </c>
      <c r="B204" s="113" t="s">
        <v>260</v>
      </c>
      <c r="C204" s="80" t="s">
        <v>562</v>
      </c>
      <c r="D204" s="135"/>
      <c r="E204" s="33">
        <f t="shared" si="41"/>
        <v>3583.3333333333335</v>
      </c>
      <c r="F204" s="136">
        <v>43000</v>
      </c>
      <c r="G204" s="33">
        <f t="shared" si="34"/>
        <v>3583.3333333333335</v>
      </c>
      <c r="H204" s="33">
        <v>0</v>
      </c>
      <c r="I204" s="132">
        <f t="shared" si="40"/>
        <v>3583.3333333333335</v>
      </c>
      <c r="J204" s="66">
        <f t="shared" si="36"/>
        <v>43000</v>
      </c>
      <c r="K204" s="33">
        <f t="shared" si="37"/>
        <v>10750</v>
      </c>
      <c r="L204" s="111">
        <f t="shared" si="38"/>
        <v>400</v>
      </c>
      <c r="M204" s="66">
        <f>0+J204</f>
        <v>43000</v>
      </c>
      <c r="N204" s="82">
        <v>43000</v>
      </c>
      <c r="O204" s="111">
        <f t="shared" si="39"/>
        <v>100</v>
      </c>
      <c r="P204" s="60"/>
      <c r="Q204" s="144"/>
      <c r="R204" s="55"/>
      <c r="S204" s="55"/>
    </row>
    <row r="205" spans="1:19" ht="20.100000000000001" customHeight="1" x14ac:dyDescent="0.25">
      <c r="A205" s="1">
        <v>70</v>
      </c>
      <c r="B205" s="113" t="s">
        <v>64</v>
      </c>
      <c r="C205" s="80" t="s">
        <v>563</v>
      </c>
      <c r="D205" s="135">
        <v>45495.040000000001</v>
      </c>
      <c r="E205" s="33">
        <f t="shared" si="41"/>
        <v>33333.333333333336</v>
      </c>
      <c r="F205" s="136">
        <v>47288.800000000003</v>
      </c>
      <c r="G205" s="33">
        <f t="shared" si="34"/>
        <v>33333.333333333336</v>
      </c>
      <c r="H205" s="33">
        <v>25777.78</v>
      </c>
      <c r="I205" s="137">
        <f t="shared" si="40"/>
        <v>33333.333333333336</v>
      </c>
      <c r="J205" s="66">
        <f t="shared" si="36"/>
        <v>118561.62</v>
      </c>
      <c r="K205" s="33">
        <f t="shared" si="37"/>
        <v>100000</v>
      </c>
      <c r="L205" s="111">
        <f t="shared" si="38"/>
        <v>118.56161999999999</v>
      </c>
      <c r="M205" s="66">
        <f>204509.87+J205</f>
        <v>323071.49</v>
      </c>
      <c r="N205" s="82">
        <v>400000</v>
      </c>
      <c r="O205" s="111">
        <f t="shared" si="39"/>
        <v>80.767872499999996</v>
      </c>
      <c r="P205" s="60"/>
      <c r="Q205" s="144"/>
      <c r="R205" s="55"/>
      <c r="S205" s="55"/>
    </row>
    <row r="206" spans="1:19" ht="20.100000000000001" customHeight="1" x14ac:dyDescent="0.25">
      <c r="A206" s="1">
        <v>71</v>
      </c>
      <c r="B206" s="113" t="s">
        <v>70</v>
      </c>
      <c r="C206" s="80" t="s">
        <v>564</v>
      </c>
      <c r="D206" s="135">
        <v>0</v>
      </c>
      <c r="E206" s="33">
        <f t="shared" si="41"/>
        <v>100000</v>
      </c>
      <c r="F206" s="136"/>
      <c r="G206" s="33">
        <f t="shared" si="34"/>
        <v>100000</v>
      </c>
      <c r="H206" s="33">
        <v>0</v>
      </c>
      <c r="I206" s="137">
        <f t="shared" si="40"/>
        <v>100000</v>
      </c>
      <c r="J206" s="66">
        <f t="shared" si="36"/>
        <v>0</v>
      </c>
      <c r="K206" s="33">
        <f t="shared" si="37"/>
        <v>300000</v>
      </c>
      <c r="L206" s="111">
        <f t="shared" si="38"/>
        <v>0</v>
      </c>
      <c r="M206" s="66">
        <f>0+J206</f>
        <v>0</v>
      </c>
      <c r="N206" s="82">
        <v>1200000</v>
      </c>
      <c r="O206" s="111">
        <f t="shared" si="39"/>
        <v>0</v>
      </c>
      <c r="P206" s="60"/>
      <c r="Q206" s="144"/>
      <c r="R206" s="55"/>
      <c r="S206" s="55"/>
    </row>
    <row r="207" spans="1:19" ht="20.100000000000001" customHeight="1" x14ac:dyDescent="0.25">
      <c r="B207" s="113" t="s">
        <v>65</v>
      </c>
      <c r="C207" s="80" t="s">
        <v>589</v>
      </c>
      <c r="D207" s="135">
        <v>800000</v>
      </c>
      <c r="E207" s="33">
        <f t="shared" si="41"/>
        <v>133333.33333333334</v>
      </c>
      <c r="F207" s="136">
        <v>316000</v>
      </c>
      <c r="G207" s="33">
        <f t="shared" si="34"/>
        <v>133333.33333333334</v>
      </c>
      <c r="H207" s="33">
        <v>0</v>
      </c>
      <c r="I207" s="137">
        <f t="shared" si="40"/>
        <v>133333.33333333334</v>
      </c>
      <c r="J207" s="66">
        <f t="shared" si="36"/>
        <v>1116000</v>
      </c>
      <c r="K207" s="33">
        <f t="shared" si="37"/>
        <v>400000</v>
      </c>
      <c r="L207" s="111">
        <f t="shared" si="38"/>
        <v>279</v>
      </c>
      <c r="M207" s="66">
        <f>800000+J207</f>
        <v>1916000</v>
      </c>
      <c r="N207" s="82">
        <v>1600000</v>
      </c>
      <c r="O207" s="111">
        <f t="shared" si="39"/>
        <v>119.75</v>
      </c>
      <c r="P207" s="60"/>
      <c r="Q207" s="144"/>
      <c r="R207" s="55"/>
      <c r="S207" s="55"/>
    </row>
    <row r="208" spans="1:19" ht="20.100000000000001" customHeight="1" x14ac:dyDescent="0.25">
      <c r="B208" s="113" t="s">
        <v>66</v>
      </c>
      <c r="C208" s="80" t="s">
        <v>590</v>
      </c>
      <c r="D208" s="135">
        <v>0</v>
      </c>
      <c r="E208" s="33">
        <f t="shared" si="41"/>
        <v>26688.721666666665</v>
      </c>
      <c r="F208" s="136"/>
      <c r="G208" s="33">
        <f t="shared" si="34"/>
        <v>26688.721666666665</v>
      </c>
      <c r="H208" s="33">
        <v>4000</v>
      </c>
      <c r="I208" s="137">
        <f t="shared" si="40"/>
        <v>26688.721666666665</v>
      </c>
      <c r="J208" s="66">
        <f t="shared" si="36"/>
        <v>4000</v>
      </c>
      <c r="K208" s="33">
        <f t="shared" si="37"/>
        <v>80066.164999999994</v>
      </c>
      <c r="L208" s="111">
        <f t="shared" si="38"/>
        <v>4.9958681048355453</v>
      </c>
      <c r="M208" s="66">
        <f>0+J208</f>
        <v>4000</v>
      </c>
      <c r="N208" s="82">
        <v>320264.65999999997</v>
      </c>
      <c r="O208" s="111">
        <f t="shared" si="39"/>
        <v>1.2489670262088863</v>
      </c>
      <c r="P208" s="60"/>
      <c r="Q208" s="144"/>
      <c r="R208" s="55"/>
      <c r="S208" s="55"/>
    </row>
    <row r="209" spans="1:19" ht="20.100000000000001" customHeight="1" x14ac:dyDescent="0.25">
      <c r="B209" s="113" t="s">
        <v>67</v>
      </c>
      <c r="C209" s="80" t="s">
        <v>591</v>
      </c>
      <c r="D209" s="135">
        <v>333300.09000000003</v>
      </c>
      <c r="E209" s="33">
        <f t="shared" si="41"/>
        <v>83325.021666666667</v>
      </c>
      <c r="F209" s="136">
        <v>333300.08</v>
      </c>
      <c r="G209" s="33">
        <f t="shared" si="34"/>
        <v>83325.021666666667</v>
      </c>
      <c r="H209" s="33">
        <v>0</v>
      </c>
      <c r="I209" s="137">
        <f t="shared" si="40"/>
        <v>83325.021666666667</v>
      </c>
      <c r="J209" s="66">
        <f t="shared" si="36"/>
        <v>666600.17000000004</v>
      </c>
      <c r="K209" s="33">
        <f t="shared" si="37"/>
        <v>249975.065</v>
      </c>
      <c r="L209" s="111">
        <f t="shared" si="38"/>
        <v>266.66666533320034</v>
      </c>
      <c r="M209" s="66">
        <f>333300.09+J209</f>
        <v>999900.26</v>
      </c>
      <c r="N209" s="82">
        <v>999900.26</v>
      </c>
      <c r="O209" s="111">
        <f t="shared" si="39"/>
        <v>100</v>
      </c>
      <c r="P209" s="60"/>
      <c r="Q209" s="144"/>
      <c r="R209" s="55"/>
      <c r="S209" s="55"/>
    </row>
    <row r="210" spans="1:19" ht="20.100000000000001" customHeight="1" x14ac:dyDescent="0.25">
      <c r="B210" s="113" t="s">
        <v>592</v>
      </c>
      <c r="C210" s="80" t="s">
        <v>597</v>
      </c>
      <c r="D210" s="135">
        <v>0</v>
      </c>
      <c r="E210" s="33">
        <f t="shared" si="41"/>
        <v>66646.383333333331</v>
      </c>
      <c r="F210" s="136"/>
      <c r="G210" s="33">
        <f t="shared" si="34"/>
        <v>66646.383333333331</v>
      </c>
      <c r="H210" s="33">
        <v>0</v>
      </c>
      <c r="I210" s="137">
        <f t="shared" si="40"/>
        <v>66646.383333333331</v>
      </c>
      <c r="J210" s="66">
        <f t="shared" si="36"/>
        <v>0</v>
      </c>
      <c r="K210" s="33">
        <f t="shared" si="37"/>
        <v>199939.15</v>
      </c>
      <c r="L210" s="111">
        <f t="shared" si="38"/>
        <v>0</v>
      </c>
      <c r="M210" s="66">
        <f>799756.6+J210</f>
        <v>799756.6</v>
      </c>
      <c r="N210" s="82">
        <v>799756.6</v>
      </c>
      <c r="O210" s="111">
        <f t="shared" si="39"/>
        <v>100</v>
      </c>
      <c r="P210" s="60"/>
      <c r="Q210" s="144"/>
      <c r="R210" s="55"/>
      <c r="S210" s="55"/>
    </row>
    <row r="211" spans="1:19" ht="20.100000000000001" customHeight="1" x14ac:dyDescent="0.25">
      <c r="B211" s="113" t="s">
        <v>593</v>
      </c>
      <c r="C211" s="80" t="s">
        <v>598</v>
      </c>
      <c r="D211" s="135">
        <v>0</v>
      </c>
      <c r="E211" s="33">
        <f t="shared" si="41"/>
        <v>50000</v>
      </c>
      <c r="F211" s="136"/>
      <c r="G211" s="33">
        <f t="shared" si="34"/>
        <v>50000</v>
      </c>
      <c r="H211" s="33">
        <v>599440</v>
      </c>
      <c r="I211" s="137">
        <f t="shared" si="40"/>
        <v>50000</v>
      </c>
      <c r="J211" s="66">
        <f t="shared" si="36"/>
        <v>599440</v>
      </c>
      <c r="K211" s="33">
        <f t="shared" si="37"/>
        <v>150000</v>
      </c>
      <c r="L211" s="111">
        <f t="shared" si="38"/>
        <v>399.62666666666667</v>
      </c>
      <c r="M211" s="66">
        <f>0+J211</f>
        <v>599440</v>
      </c>
      <c r="N211" s="82">
        <v>600000</v>
      </c>
      <c r="O211" s="111">
        <f t="shared" si="39"/>
        <v>99.906666666666666</v>
      </c>
      <c r="P211" s="60"/>
      <c r="Q211" s="144"/>
      <c r="R211" s="55"/>
      <c r="S211" s="55"/>
    </row>
    <row r="212" spans="1:19" ht="20.100000000000001" customHeight="1" x14ac:dyDescent="0.25">
      <c r="B212" s="113" t="s">
        <v>594</v>
      </c>
      <c r="C212" s="80" t="s">
        <v>599</v>
      </c>
      <c r="D212" s="135">
        <v>0</v>
      </c>
      <c r="E212" s="33">
        <f t="shared" si="41"/>
        <v>83333.333333333328</v>
      </c>
      <c r="F212" s="136"/>
      <c r="G212" s="33">
        <f t="shared" si="34"/>
        <v>83333.333333333328</v>
      </c>
      <c r="H212" s="33">
        <v>0</v>
      </c>
      <c r="I212" s="137">
        <f t="shared" si="40"/>
        <v>83333.333333333328</v>
      </c>
      <c r="J212" s="66">
        <f t="shared" si="36"/>
        <v>0</v>
      </c>
      <c r="K212" s="33">
        <f t="shared" si="37"/>
        <v>250000</v>
      </c>
      <c r="L212" s="111">
        <f t="shared" si="38"/>
        <v>0</v>
      </c>
      <c r="M212" s="66">
        <f>0+J212</f>
        <v>0</v>
      </c>
      <c r="N212" s="82">
        <v>1000000</v>
      </c>
      <c r="O212" s="111">
        <f t="shared" si="39"/>
        <v>0</v>
      </c>
      <c r="P212" s="60"/>
      <c r="Q212" s="144"/>
      <c r="R212" s="55"/>
      <c r="S212" s="55"/>
    </row>
    <row r="213" spans="1:19" ht="20.100000000000001" customHeight="1" x14ac:dyDescent="0.25">
      <c r="B213" s="113" t="s">
        <v>595</v>
      </c>
      <c r="C213" s="80" t="s">
        <v>600</v>
      </c>
      <c r="D213" s="135"/>
      <c r="E213" s="33">
        <f t="shared" si="41"/>
        <v>543149.61583333334</v>
      </c>
      <c r="F213" s="136">
        <v>3258897.7</v>
      </c>
      <c r="G213" s="33">
        <f t="shared" si="34"/>
        <v>543149.61583333334</v>
      </c>
      <c r="H213" s="33">
        <v>2444173.2799999998</v>
      </c>
      <c r="I213" s="137">
        <f t="shared" si="40"/>
        <v>543149.61583333334</v>
      </c>
      <c r="J213" s="66">
        <f t="shared" si="36"/>
        <v>5703070.9800000004</v>
      </c>
      <c r="K213" s="33">
        <f t="shared" si="37"/>
        <v>1629448.8475000001</v>
      </c>
      <c r="L213" s="111">
        <f t="shared" si="38"/>
        <v>350.00000084384362</v>
      </c>
      <c r="M213" s="66">
        <f>0+J213</f>
        <v>5703070.9800000004</v>
      </c>
      <c r="N213" s="82">
        <v>6517795.3899999997</v>
      </c>
      <c r="O213" s="111">
        <f t="shared" si="39"/>
        <v>87.50000021096092</v>
      </c>
      <c r="P213" s="60"/>
      <c r="Q213" s="144"/>
      <c r="R213" s="55"/>
      <c r="S213" s="55"/>
    </row>
    <row r="214" spans="1:19" ht="20.100000000000001" customHeight="1" x14ac:dyDescent="0.25">
      <c r="B214" s="113" t="s">
        <v>596</v>
      </c>
      <c r="C214" s="80" t="s">
        <v>601</v>
      </c>
      <c r="D214" s="135">
        <v>0</v>
      </c>
      <c r="E214" s="33">
        <f t="shared" si="41"/>
        <v>33333.333333333336</v>
      </c>
      <c r="F214" s="136">
        <v>400000</v>
      </c>
      <c r="G214" s="33">
        <f t="shared" si="34"/>
        <v>33333.333333333336</v>
      </c>
      <c r="H214" s="33">
        <v>0</v>
      </c>
      <c r="I214" s="137">
        <f t="shared" si="40"/>
        <v>33333.333333333336</v>
      </c>
      <c r="J214" s="66">
        <f t="shared" si="36"/>
        <v>400000</v>
      </c>
      <c r="K214" s="33">
        <f t="shared" si="37"/>
        <v>100000</v>
      </c>
      <c r="L214" s="111">
        <f t="shared" si="38"/>
        <v>400</v>
      </c>
      <c r="M214" s="66">
        <f>0+J214</f>
        <v>400000</v>
      </c>
      <c r="N214" s="82">
        <v>400000</v>
      </c>
      <c r="O214" s="111">
        <f t="shared" si="39"/>
        <v>100</v>
      </c>
      <c r="P214" s="60"/>
      <c r="Q214" s="144"/>
      <c r="R214" s="55"/>
      <c r="S214" s="55"/>
    </row>
    <row r="215" spans="1:19" ht="20.100000000000001" customHeight="1" x14ac:dyDescent="0.25">
      <c r="B215" s="113" t="s">
        <v>631</v>
      </c>
      <c r="C215" s="80" t="s">
        <v>632</v>
      </c>
      <c r="D215" s="135">
        <v>53624.58</v>
      </c>
      <c r="E215" s="33">
        <f t="shared" si="41"/>
        <v>27254.818333333333</v>
      </c>
      <c r="F215" s="136"/>
      <c r="G215" s="33">
        <f t="shared" si="34"/>
        <v>27254.818333333333</v>
      </c>
      <c r="H215" s="33">
        <v>186603.63</v>
      </c>
      <c r="I215" s="137">
        <f t="shared" si="40"/>
        <v>27254.818333333333</v>
      </c>
      <c r="J215" s="66">
        <f t="shared" si="36"/>
        <v>240228.21000000002</v>
      </c>
      <c r="K215" s="33">
        <f t="shared" si="37"/>
        <v>81764.455000000002</v>
      </c>
      <c r="L215" s="111">
        <f t="shared" si="38"/>
        <v>293.80518710728279</v>
      </c>
      <c r="M215" s="66">
        <f>84408.56+J215</f>
        <v>324636.77</v>
      </c>
      <c r="N215" s="82">
        <v>327057.82</v>
      </c>
      <c r="O215" s="111">
        <f t="shared" si="39"/>
        <v>99.259748627933746</v>
      </c>
      <c r="P215" s="60"/>
      <c r="Q215" s="144"/>
      <c r="R215" s="55"/>
      <c r="S215" s="55"/>
    </row>
    <row r="216" spans="1:19" ht="20.100000000000001" customHeight="1" x14ac:dyDescent="0.25">
      <c r="A216" s="1">
        <v>72</v>
      </c>
      <c r="B216" s="113" t="s">
        <v>68</v>
      </c>
      <c r="C216" s="80" t="s">
        <v>565</v>
      </c>
      <c r="D216" s="135">
        <v>431160.4</v>
      </c>
      <c r="E216" s="33">
        <f t="shared" si="41"/>
        <v>454166.66666666669</v>
      </c>
      <c r="F216" s="35">
        <v>449180.51</v>
      </c>
      <c r="G216" s="33">
        <f t="shared" si="34"/>
        <v>454166.66666666669</v>
      </c>
      <c r="H216" s="33">
        <v>458927.68</v>
      </c>
      <c r="I216" s="137">
        <f t="shared" si="40"/>
        <v>454166.66666666669</v>
      </c>
      <c r="J216" s="66">
        <f t="shared" si="36"/>
        <v>1339268.5900000001</v>
      </c>
      <c r="K216" s="33">
        <f t="shared" si="37"/>
        <v>1362500</v>
      </c>
      <c r="L216" s="111">
        <f t="shared" si="38"/>
        <v>98.294942385321107</v>
      </c>
      <c r="M216" s="66">
        <f>2166724.97+J216</f>
        <v>3505993.5600000005</v>
      </c>
      <c r="N216" s="82">
        <v>5450000</v>
      </c>
      <c r="O216" s="111">
        <f t="shared" si="39"/>
        <v>64.330157064220188</v>
      </c>
      <c r="P216" s="60"/>
      <c r="Q216" s="144"/>
      <c r="R216" s="55"/>
      <c r="S216" s="55"/>
    </row>
    <row r="217" spans="1:19" ht="20.100000000000001" customHeight="1" x14ac:dyDescent="0.25">
      <c r="B217" s="79"/>
      <c r="C217" s="80"/>
      <c r="D217" s="33"/>
      <c r="E217" s="33"/>
      <c r="F217" s="33"/>
      <c r="G217" s="33"/>
      <c r="H217" s="33"/>
      <c r="I217" s="33"/>
      <c r="J217" s="66"/>
      <c r="K217" s="33"/>
      <c r="L217" s="111"/>
      <c r="M217" s="66"/>
      <c r="N217" s="82"/>
      <c r="O217" s="111"/>
      <c r="P217" s="60"/>
      <c r="Q217" s="144"/>
      <c r="R217" s="55"/>
      <c r="S217" s="55"/>
    </row>
    <row r="218" spans="1:19" ht="20.100000000000001" customHeight="1" thickBot="1" x14ac:dyDescent="0.3">
      <c r="B218" s="92" t="s">
        <v>0</v>
      </c>
      <c r="C218" s="93" t="s">
        <v>0</v>
      </c>
      <c r="D218" s="94" t="s">
        <v>0</v>
      </c>
      <c r="E218" s="94" t="s">
        <v>0</v>
      </c>
      <c r="F218" s="94" t="s">
        <v>0</v>
      </c>
      <c r="G218" s="94"/>
      <c r="H218" s="94"/>
      <c r="I218" s="94"/>
      <c r="J218" s="95"/>
      <c r="K218" s="94" t="s">
        <v>0</v>
      </c>
      <c r="L218" s="96" t="s">
        <v>0</v>
      </c>
      <c r="M218" s="95" t="s">
        <v>0</v>
      </c>
      <c r="N218" s="97" t="s">
        <v>0</v>
      </c>
      <c r="O218" s="96" t="s">
        <v>0</v>
      </c>
      <c r="P218" s="60"/>
      <c r="Q218" s="144"/>
      <c r="R218" s="55"/>
      <c r="S218" s="55"/>
    </row>
    <row r="219" spans="1:19" ht="16.5" thickTop="1" thickBot="1" x14ac:dyDescent="0.3">
      <c r="B219" s="31"/>
      <c r="C219" s="31"/>
      <c r="D219" s="35"/>
      <c r="E219" s="35"/>
      <c r="F219" s="35"/>
      <c r="G219" s="35"/>
      <c r="H219" s="35"/>
      <c r="I219" s="35"/>
      <c r="J219" s="35"/>
      <c r="K219" s="35"/>
      <c r="L219" s="31"/>
      <c r="M219" s="35"/>
      <c r="N219" s="35"/>
      <c r="O219" s="31"/>
      <c r="P219" s="60"/>
      <c r="Q219" s="144"/>
      <c r="R219" s="14"/>
      <c r="S219" s="14"/>
    </row>
    <row r="220" spans="1:19" ht="20.100000000000001" customHeight="1" thickBot="1" x14ac:dyDescent="0.3">
      <c r="B220" s="39"/>
      <c r="C220" s="40" t="s">
        <v>20</v>
      </c>
      <c r="D220" s="78">
        <f>SUM(D103:D216)</f>
        <v>26274319.419999991</v>
      </c>
      <c r="E220" s="78">
        <f t="shared" ref="E220:K220" si="42">SUM(E103:E182)</f>
        <v>16729768.590833338</v>
      </c>
      <c r="F220" s="78">
        <f>SUM(F103:F216)</f>
        <v>19223946.210000001</v>
      </c>
      <c r="G220" s="78">
        <f t="shared" si="42"/>
        <v>16690033.590833338</v>
      </c>
      <c r="H220" s="78">
        <f>SUM(H103:H216)</f>
        <v>39853261.530000001</v>
      </c>
      <c r="I220" s="78">
        <f t="shared" si="42"/>
        <v>16690033.590833338</v>
      </c>
      <c r="J220" s="78">
        <f>SUM(J103:J216)</f>
        <v>85351527.159999996</v>
      </c>
      <c r="K220" s="78">
        <f t="shared" si="42"/>
        <v>50109835.772500008</v>
      </c>
      <c r="L220" s="41">
        <f>J220/K220</f>
        <v>1.703288902152827</v>
      </c>
      <c r="M220" s="38">
        <f>SUM(M103:M219)</f>
        <v>185868725.12000009</v>
      </c>
      <c r="N220" s="38">
        <f>SUM(N103:N219)</f>
        <v>268568145.57000005</v>
      </c>
      <c r="O220" s="42">
        <f>M220/N220</f>
        <v>0.6920728619007237</v>
      </c>
      <c r="P220" s="60"/>
      <c r="Q220" s="144"/>
      <c r="R220" s="14"/>
      <c r="S220" s="14"/>
    </row>
    <row r="221" spans="1:19" ht="20.100000000000001" customHeight="1" x14ac:dyDescent="0.25">
      <c r="B221" s="39"/>
      <c r="C221" s="40"/>
      <c r="D221" s="55"/>
      <c r="E221" s="55"/>
      <c r="F221" s="55"/>
      <c r="G221" s="55"/>
      <c r="H221" s="55"/>
      <c r="I221" s="55"/>
      <c r="J221" s="55"/>
      <c r="K221" s="55"/>
      <c r="L221" s="58" t="s">
        <v>0</v>
      </c>
      <c r="M221" s="55"/>
      <c r="N221" s="55"/>
      <c r="O221" s="58"/>
      <c r="P221" s="60"/>
      <c r="Q221" s="144"/>
      <c r="R221" s="14"/>
      <c r="S221" s="14"/>
    </row>
    <row r="222" spans="1:19" ht="20.100000000000001" customHeight="1" x14ac:dyDescent="0.2">
      <c r="B222" s="39"/>
      <c r="C222" s="40"/>
      <c r="D222" s="55"/>
      <c r="E222" s="55"/>
      <c r="F222" s="55"/>
      <c r="G222" s="55"/>
      <c r="H222" s="55"/>
      <c r="I222" s="55"/>
      <c r="J222" s="55"/>
      <c r="K222" s="55"/>
      <c r="L222" s="59"/>
      <c r="M222" s="55"/>
      <c r="N222" s="55"/>
      <c r="O222" s="59"/>
      <c r="P222" s="60"/>
      <c r="Q222" s="14"/>
      <c r="R222" s="14"/>
      <c r="S222" s="14"/>
    </row>
    <row r="223" spans="1:19" ht="20.100000000000001" customHeight="1" x14ac:dyDescent="0.2">
      <c r="B223" s="39"/>
      <c r="C223" s="40"/>
      <c r="D223" s="55"/>
      <c r="E223" s="55"/>
      <c r="F223" s="55"/>
      <c r="G223" s="55"/>
      <c r="H223" s="55"/>
      <c r="I223" s="55"/>
      <c r="J223" s="55"/>
      <c r="K223" s="55"/>
      <c r="L223" s="59"/>
      <c r="M223" s="55"/>
      <c r="N223" s="55"/>
      <c r="O223" s="59"/>
      <c r="P223" s="60"/>
      <c r="Q223" s="14"/>
      <c r="R223" s="14"/>
      <c r="S223" s="14"/>
    </row>
    <row r="224" spans="1:19" ht="20.100000000000001" customHeight="1" x14ac:dyDescent="0.2">
      <c r="B224" s="39"/>
      <c r="C224" s="40"/>
      <c r="D224" s="55"/>
      <c r="E224" s="55"/>
      <c r="F224" s="55"/>
      <c r="G224" s="55"/>
      <c r="H224" s="55"/>
      <c r="I224" s="55"/>
      <c r="J224" s="55"/>
      <c r="K224" s="55"/>
      <c r="L224" s="59"/>
      <c r="M224" s="55"/>
      <c r="N224" s="55"/>
      <c r="O224" s="59"/>
      <c r="P224" s="60"/>
      <c r="Q224" s="14"/>
      <c r="R224" s="14"/>
      <c r="S224" s="14"/>
    </row>
    <row r="225" spans="2:19" ht="20.100000000000001" customHeight="1" x14ac:dyDescent="0.2">
      <c r="B225" s="39"/>
      <c r="C225" s="40"/>
      <c r="D225" s="55"/>
      <c r="E225" s="55"/>
      <c r="F225" s="55"/>
      <c r="G225" s="55"/>
      <c r="H225" s="55"/>
      <c r="I225" s="55"/>
      <c r="J225" s="55"/>
      <c r="K225" s="55"/>
      <c r="L225" s="59"/>
      <c r="M225" s="55"/>
      <c r="N225" s="55"/>
      <c r="O225" s="59"/>
      <c r="P225" s="60"/>
      <c r="Q225" s="14"/>
      <c r="R225" s="14"/>
      <c r="S225" s="14"/>
    </row>
    <row r="226" spans="2:19" x14ac:dyDescent="0.15">
      <c r="Q226" s="14"/>
      <c r="R226" s="14"/>
      <c r="S226" s="14"/>
    </row>
    <row r="227" spans="2:19" x14ac:dyDescent="0.15">
      <c r="Q227" s="14"/>
      <c r="R227" s="14"/>
      <c r="S227" s="14"/>
    </row>
    <row r="228" spans="2:19" x14ac:dyDescent="0.15">
      <c r="Q228" s="14"/>
      <c r="R228" s="14"/>
      <c r="S228" s="14"/>
    </row>
    <row r="229" spans="2:19" x14ac:dyDescent="0.15">
      <c r="Q229" s="14"/>
      <c r="R229" s="14"/>
      <c r="S229" s="14"/>
    </row>
    <row r="230" spans="2:19" x14ac:dyDescent="0.15">
      <c r="Q230" s="14"/>
      <c r="R230" s="14"/>
      <c r="S230" s="14"/>
    </row>
    <row r="231" spans="2:19" x14ac:dyDescent="0.15">
      <c r="Q231" s="14"/>
      <c r="R231" s="14"/>
      <c r="S231" s="14"/>
    </row>
    <row r="232" spans="2:19" x14ac:dyDescent="0.15">
      <c r="Q232" s="14"/>
      <c r="R232" s="14"/>
      <c r="S232" s="14"/>
    </row>
    <row r="233" spans="2:19" x14ac:dyDescent="0.15">
      <c r="Q233" s="14"/>
      <c r="R233" s="14"/>
      <c r="S233" s="14"/>
    </row>
    <row r="234" spans="2:19" x14ac:dyDescent="0.15">
      <c r="Q234" s="14"/>
      <c r="R234" s="14"/>
      <c r="S234" s="14"/>
    </row>
    <row r="235" spans="2:19" x14ac:dyDescent="0.15">
      <c r="Q235" s="14"/>
      <c r="R235" s="14"/>
      <c r="S235" s="14"/>
    </row>
    <row r="236" spans="2:19" x14ac:dyDescent="0.15">
      <c r="Q236" s="14"/>
      <c r="R236" s="14"/>
      <c r="S236" s="14"/>
    </row>
    <row r="237" spans="2:19" x14ac:dyDescent="0.15">
      <c r="Q237" s="14"/>
      <c r="R237" s="14"/>
      <c r="S237" s="14"/>
    </row>
    <row r="238" spans="2:19" x14ac:dyDescent="0.15">
      <c r="Q238" s="14"/>
      <c r="R238" s="14"/>
      <c r="S238" s="14"/>
    </row>
    <row r="239" spans="2:19" x14ac:dyDescent="0.15">
      <c r="Q239" s="14"/>
      <c r="R239" s="14"/>
      <c r="S239" s="14"/>
    </row>
    <row r="240" spans="2:19" x14ac:dyDescent="0.15">
      <c r="Q240" s="14"/>
      <c r="R240" s="14"/>
      <c r="S240" s="14"/>
    </row>
    <row r="241" spans="17:19" x14ac:dyDescent="0.15">
      <c r="Q241" s="14"/>
      <c r="R241" s="14"/>
      <c r="S241" s="14"/>
    </row>
    <row r="242" spans="17:19" x14ac:dyDescent="0.15">
      <c r="Q242" s="14"/>
      <c r="R242" s="14"/>
      <c r="S242" s="14"/>
    </row>
    <row r="243" spans="17:19" x14ac:dyDescent="0.15">
      <c r="Q243" s="14"/>
      <c r="R243" s="14"/>
      <c r="S243" s="14"/>
    </row>
    <row r="244" spans="17:19" x14ac:dyDescent="0.15">
      <c r="Q244" s="14"/>
      <c r="R244" s="14"/>
      <c r="S244" s="14"/>
    </row>
    <row r="245" spans="17:19" x14ac:dyDescent="0.15">
      <c r="Q245" s="14"/>
      <c r="R245" s="14"/>
      <c r="S245" s="14"/>
    </row>
    <row r="246" spans="17:19" x14ac:dyDescent="0.15">
      <c r="Q246" s="14"/>
      <c r="R246" s="14"/>
      <c r="S246" s="14"/>
    </row>
    <row r="247" spans="17:19" x14ac:dyDescent="0.15">
      <c r="Q247" s="14"/>
      <c r="R247" s="14"/>
      <c r="S247" s="14"/>
    </row>
    <row r="248" spans="17:19" x14ac:dyDescent="0.15">
      <c r="Q248" s="14"/>
      <c r="R248" s="14"/>
      <c r="S248" s="14"/>
    </row>
    <row r="249" spans="17:19" x14ac:dyDescent="0.15">
      <c r="Q249" s="14"/>
      <c r="R249" s="14"/>
      <c r="S249" s="14"/>
    </row>
    <row r="250" spans="17:19" x14ac:dyDescent="0.15">
      <c r="Q250" s="14"/>
      <c r="R250" s="14"/>
      <c r="S250" s="14"/>
    </row>
  </sheetData>
  <autoFilter ref="B102:O218"/>
  <mergeCells count="14">
    <mergeCell ref="B2:O2"/>
    <mergeCell ref="B61:O61"/>
    <mergeCell ref="B62:C62"/>
    <mergeCell ref="J62:K62"/>
    <mergeCell ref="M62:N62"/>
    <mergeCell ref="B11:C11"/>
    <mergeCell ref="J11:K11"/>
    <mergeCell ref="M11:N11"/>
    <mergeCell ref="B10:O10"/>
    <mergeCell ref="B53:O53"/>
    <mergeCell ref="B100:O100"/>
    <mergeCell ref="B101:C101"/>
    <mergeCell ref="J101:K101"/>
    <mergeCell ref="M101:N101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60" orientation="landscape" r:id="rId1"/>
  <ignoredErrors>
    <ignoredError sqref="L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S375"/>
  <sheetViews>
    <sheetView zoomScale="130" zoomScaleNormal="130" workbookViewId="0"/>
  </sheetViews>
  <sheetFormatPr baseColWidth="10" defaultColWidth="11.42578125" defaultRowHeight="15" x14ac:dyDescent="0.25"/>
  <cols>
    <col min="2" max="2" width="85" bestFit="1" customWidth="1"/>
    <col min="3" max="3" width="14.42578125" bestFit="1" customWidth="1"/>
    <col min="4" max="4" width="13.7109375" bestFit="1" customWidth="1"/>
    <col min="5" max="5" width="14.140625" customWidth="1"/>
    <col min="6" max="9" width="12.85546875" bestFit="1" customWidth="1"/>
    <col min="10" max="10" width="13.7109375" bestFit="1" customWidth="1"/>
    <col min="11" max="12" width="12.85546875" bestFit="1" customWidth="1"/>
    <col min="13" max="13" width="13.7109375" bestFit="1" customWidth="1"/>
    <col min="15" max="15" width="12.85546875" bestFit="1" customWidth="1"/>
    <col min="16" max="16" width="13.7109375" bestFit="1" customWidth="1"/>
    <col min="18" max="18" width="12.85546875" bestFit="1" customWidth="1"/>
    <col min="19" max="19" width="15.5703125" bestFit="1" customWidth="1"/>
  </cols>
  <sheetData>
    <row r="4" spans="1:19" ht="15.75" thickBot="1" x14ac:dyDescent="0.3">
      <c r="A4" s="54"/>
      <c r="B4" s="14"/>
      <c r="C4" s="55"/>
      <c r="D4" s="55" t="s">
        <v>475</v>
      </c>
      <c r="E4" s="55" t="s">
        <v>476</v>
      </c>
      <c r="F4" s="55" t="s">
        <v>477</v>
      </c>
      <c r="G4" s="55" t="s">
        <v>478</v>
      </c>
      <c r="H4" s="55" t="s">
        <v>479</v>
      </c>
      <c r="I4" s="55" t="s">
        <v>480</v>
      </c>
      <c r="J4" s="55" t="s">
        <v>481</v>
      </c>
      <c r="K4" s="56" t="s">
        <v>482</v>
      </c>
      <c r="L4" s="55" t="s">
        <v>483</v>
      </c>
      <c r="M4" s="55" t="s">
        <v>484</v>
      </c>
      <c r="N4" s="56" t="s">
        <v>485</v>
      </c>
      <c r="O4" s="115" t="s">
        <v>483</v>
      </c>
      <c r="P4" s="115" t="s">
        <v>484</v>
      </c>
      <c r="Q4" s="115" t="s">
        <v>486</v>
      </c>
      <c r="R4" s="55"/>
      <c r="S4" s="58"/>
    </row>
    <row r="5" spans="1:19" ht="15.75" thickBot="1" x14ac:dyDescent="0.3">
      <c r="A5" s="54"/>
      <c r="B5" s="14"/>
      <c r="C5" s="55"/>
      <c r="D5" s="114" t="s">
        <v>373</v>
      </c>
      <c r="E5" s="91" t="s">
        <v>372</v>
      </c>
      <c r="F5" s="90">
        <v>99174.7</v>
      </c>
      <c r="G5" s="65">
        <f>1156290/12</f>
        <v>96357.5</v>
      </c>
      <c r="H5" s="90">
        <v>98757.11</v>
      </c>
      <c r="I5" s="65">
        <f>1156290/12</f>
        <v>96357.5</v>
      </c>
      <c r="J5" s="90">
        <v>0</v>
      </c>
      <c r="K5" s="65">
        <f>1156290/12</f>
        <v>96357.5</v>
      </c>
      <c r="L5" s="66">
        <f t="shared" ref="L5:L36" si="0">+F5+H5+J5</f>
        <v>197931.81</v>
      </c>
      <c r="M5" s="33">
        <f t="shared" ref="M5:M36" si="1">+G5+I5+K5</f>
        <v>289072.5</v>
      </c>
      <c r="N5" s="67">
        <f>+L5/M5*100</f>
        <v>68.471338505046305</v>
      </c>
      <c r="O5" s="66">
        <f>300698.76+L5</f>
        <v>498630.57</v>
      </c>
      <c r="P5" s="82">
        <f>1156290/2</f>
        <v>578145</v>
      </c>
      <c r="Q5" s="83">
        <f t="shared" ref="Q5:Q25" si="2">O5/P5*100</f>
        <v>86.246628440962041</v>
      </c>
      <c r="R5" s="55"/>
      <c r="S5" s="58"/>
    </row>
    <row r="6" spans="1:19" ht="15.75" thickBot="1" x14ac:dyDescent="0.3">
      <c r="A6" s="54"/>
      <c r="B6" s="14"/>
      <c r="C6" s="55"/>
      <c r="D6" s="114" t="s">
        <v>374</v>
      </c>
      <c r="E6" s="91" t="s">
        <v>372</v>
      </c>
      <c r="F6" s="81">
        <v>1253367.54</v>
      </c>
      <c r="G6" s="65">
        <f>9096930.14/12</f>
        <v>758077.51166666672</v>
      </c>
      <c r="H6" s="81">
        <v>1210297.08</v>
      </c>
      <c r="I6" s="65">
        <f>9096930.14/12</f>
        <v>758077.51166666672</v>
      </c>
      <c r="J6" s="81"/>
      <c r="K6" s="65">
        <f>9096930.14/12</f>
        <v>758077.51166666672</v>
      </c>
      <c r="L6" s="66">
        <f t="shared" si="0"/>
        <v>2463664.62</v>
      </c>
      <c r="M6" s="33">
        <f t="shared" si="1"/>
        <v>2274232.5350000001</v>
      </c>
      <c r="N6" s="67">
        <f>+L6/M6*100</f>
        <v>108.32949498719574</v>
      </c>
      <c r="O6" s="66">
        <f>2575146.86+L6</f>
        <v>5038811.4800000004</v>
      </c>
      <c r="P6" s="82">
        <f>2111732.54+M6</f>
        <v>4385965.0750000002</v>
      </c>
      <c r="Q6" s="83">
        <f t="shared" si="2"/>
        <v>114.88489748177031</v>
      </c>
      <c r="R6" s="55"/>
      <c r="S6" s="58"/>
    </row>
    <row r="7" spans="1:19" ht="15.75" hidden="1" thickBot="1" x14ac:dyDescent="0.3">
      <c r="A7" s="54"/>
      <c r="B7" s="14"/>
      <c r="C7" s="55"/>
      <c r="D7" s="112" t="s">
        <v>193</v>
      </c>
      <c r="E7" s="64" t="s">
        <v>261</v>
      </c>
      <c r="F7" s="65">
        <v>0</v>
      </c>
      <c r="G7" s="65">
        <f>130812/12</f>
        <v>10901</v>
      </c>
      <c r="H7" s="65">
        <v>840</v>
      </c>
      <c r="I7" s="65">
        <v>10901</v>
      </c>
      <c r="J7" s="65">
        <v>0</v>
      </c>
      <c r="K7" s="81">
        <v>10901</v>
      </c>
      <c r="L7" s="66">
        <f t="shared" si="0"/>
        <v>840</v>
      </c>
      <c r="M7" s="33">
        <f t="shared" si="1"/>
        <v>32703</v>
      </c>
      <c r="N7" s="67">
        <f>+L7/M7*100</f>
        <v>2.5685716906705807</v>
      </c>
      <c r="O7" s="66">
        <f>1424+L7</f>
        <v>2264</v>
      </c>
      <c r="P7" s="82">
        <f>32703+M7</f>
        <v>65406</v>
      </c>
      <c r="Q7" s="83">
        <f t="shared" si="2"/>
        <v>3.4614561355227349</v>
      </c>
      <c r="R7" s="55"/>
      <c r="S7" s="58"/>
    </row>
    <row r="8" spans="1:19" ht="15.75" hidden="1" thickBot="1" x14ac:dyDescent="0.3">
      <c r="A8" s="54"/>
      <c r="B8" s="14"/>
      <c r="C8" s="55"/>
      <c r="D8" s="112" t="s">
        <v>194</v>
      </c>
      <c r="E8" s="64" t="s">
        <v>262</v>
      </c>
      <c r="F8" s="65">
        <v>0</v>
      </c>
      <c r="G8" s="65">
        <f>127203/12</f>
        <v>10600.25</v>
      </c>
      <c r="H8" s="65">
        <v>0</v>
      </c>
      <c r="I8" s="65">
        <v>10600.25</v>
      </c>
      <c r="J8" s="65">
        <v>0</v>
      </c>
      <c r="K8" s="81">
        <v>10600.25</v>
      </c>
      <c r="L8" s="66">
        <f t="shared" si="0"/>
        <v>0</v>
      </c>
      <c r="M8" s="33">
        <f t="shared" si="1"/>
        <v>31800.75</v>
      </c>
      <c r="N8" s="67">
        <f>+L8/M8*100</f>
        <v>0</v>
      </c>
      <c r="O8" s="66">
        <v>0</v>
      </c>
      <c r="P8" s="82">
        <f>31800.75+M8</f>
        <v>63601.5</v>
      </c>
      <c r="Q8" s="83">
        <f t="shared" si="2"/>
        <v>0</v>
      </c>
      <c r="R8" s="55"/>
      <c r="S8" s="58"/>
    </row>
    <row r="9" spans="1:19" ht="15.75" thickBot="1" x14ac:dyDescent="0.3">
      <c r="A9" s="54"/>
      <c r="B9" s="14"/>
      <c r="C9" s="55"/>
      <c r="D9" s="112" t="s">
        <v>375</v>
      </c>
      <c r="E9" s="91" t="s">
        <v>372</v>
      </c>
      <c r="F9" s="65">
        <v>296820.19</v>
      </c>
      <c r="G9" s="65">
        <f>3958535/12</f>
        <v>329877.91666666669</v>
      </c>
      <c r="H9" s="65">
        <v>308499.98</v>
      </c>
      <c r="I9" s="65">
        <f>3958535/12</f>
        <v>329877.91666666669</v>
      </c>
      <c r="J9" s="65"/>
      <c r="K9" s="65">
        <f>3958535/12</f>
        <v>329877.91666666669</v>
      </c>
      <c r="L9" s="66">
        <f t="shared" si="0"/>
        <v>605320.16999999993</v>
      </c>
      <c r="M9" s="33">
        <f t="shared" si="1"/>
        <v>989633.75</v>
      </c>
      <c r="N9" s="67"/>
      <c r="O9" s="66">
        <f>866978.29+L9</f>
        <v>1472298.46</v>
      </c>
      <c r="P9" s="82">
        <f>3958535/4+M9</f>
        <v>1979267.5</v>
      </c>
      <c r="Q9" s="83">
        <f t="shared" si="2"/>
        <v>74.386027153984998</v>
      </c>
      <c r="R9" s="55"/>
      <c r="S9" s="58"/>
    </row>
    <row r="10" spans="1:19" ht="15.75" hidden="1" thickBot="1" x14ac:dyDescent="0.3">
      <c r="A10" s="54"/>
      <c r="B10" s="14"/>
      <c r="C10" s="55"/>
      <c r="D10" s="112" t="s">
        <v>195</v>
      </c>
      <c r="E10" s="64" t="s">
        <v>263</v>
      </c>
      <c r="F10" s="65">
        <v>11492</v>
      </c>
      <c r="G10" s="65">
        <f>+I10</f>
        <v>8433.3333333333339</v>
      </c>
      <c r="H10" s="65">
        <v>8550</v>
      </c>
      <c r="I10" s="65">
        <v>8433.3333333333339</v>
      </c>
      <c r="J10" s="65">
        <v>0</v>
      </c>
      <c r="K10" s="81">
        <v>8433.3333333333339</v>
      </c>
      <c r="L10" s="66">
        <f t="shared" si="0"/>
        <v>20042</v>
      </c>
      <c r="M10" s="33">
        <f t="shared" si="1"/>
        <v>25300</v>
      </c>
      <c r="N10" s="67">
        <f t="shared" ref="N10:N25" si="3">+L10/M10*100</f>
        <v>79.217391304347828</v>
      </c>
      <c r="O10" s="66">
        <f>0+L10</f>
        <v>20042</v>
      </c>
      <c r="P10" s="82">
        <f>25300+M10</f>
        <v>50600</v>
      </c>
      <c r="Q10" s="83">
        <f t="shared" si="2"/>
        <v>39.608695652173914</v>
      </c>
      <c r="R10" s="55"/>
      <c r="S10" s="58"/>
    </row>
    <row r="11" spans="1:19" ht="15.75" hidden="1" thickBot="1" x14ac:dyDescent="0.3">
      <c r="A11" s="54"/>
      <c r="B11" s="14"/>
      <c r="C11" s="55"/>
      <c r="D11" s="112" t="s">
        <v>196</v>
      </c>
      <c r="E11" s="64" t="s">
        <v>264</v>
      </c>
      <c r="F11" s="65">
        <v>477.1</v>
      </c>
      <c r="G11" s="65">
        <f>84495/12</f>
        <v>7041.25</v>
      </c>
      <c r="H11" s="65">
        <v>0</v>
      </c>
      <c r="I11" s="65">
        <f>84495/12</f>
        <v>7041.25</v>
      </c>
      <c r="J11" s="65">
        <v>0</v>
      </c>
      <c r="K11" s="65">
        <f>84495/12</f>
        <v>7041.25</v>
      </c>
      <c r="L11" s="66">
        <f t="shared" si="0"/>
        <v>477.1</v>
      </c>
      <c r="M11" s="33">
        <f t="shared" si="1"/>
        <v>21123.75</v>
      </c>
      <c r="N11" s="67">
        <f t="shared" si="3"/>
        <v>2.258595183146932</v>
      </c>
      <c r="O11" s="66">
        <f>0+L11</f>
        <v>477.1</v>
      </c>
      <c r="P11" s="82">
        <f>28623.75+M11</f>
        <v>49747.5</v>
      </c>
      <c r="Q11" s="83">
        <f t="shared" si="2"/>
        <v>0.95904316799839195</v>
      </c>
      <c r="R11" s="55"/>
      <c r="S11" s="58"/>
    </row>
    <row r="12" spans="1:19" ht="15.75" hidden="1" thickBot="1" x14ac:dyDescent="0.3">
      <c r="A12" s="54"/>
      <c r="B12" s="14"/>
      <c r="C12" s="55"/>
      <c r="D12" s="112" t="s">
        <v>197</v>
      </c>
      <c r="E12" s="64" t="s">
        <v>265</v>
      </c>
      <c r="F12" s="65">
        <v>0</v>
      </c>
      <c r="G12" s="65">
        <f>234000/12</f>
        <v>19500</v>
      </c>
      <c r="H12" s="65">
        <v>2039.57</v>
      </c>
      <c r="I12" s="65">
        <f>234000/12</f>
        <v>19500</v>
      </c>
      <c r="J12" s="65">
        <v>0</v>
      </c>
      <c r="K12" s="65">
        <f>234000/12</f>
        <v>19500</v>
      </c>
      <c r="L12" s="66">
        <f t="shared" si="0"/>
        <v>2039.57</v>
      </c>
      <c r="M12" s="33">
        <f t="shared" si="1"/>
        <v>58500</v>
      </c>
      <c r="N12" s="67">
        <f t="shared" si="3"/>
        <v>3.486444444444444</v>
      </c>
      <c r="O12" s="66">
        <f>0+L12</f>
        <v>2039.57</v>
      </c>
      <c r="P12" s="82">
        <f>58500+M12</f>
        <v>117000</v>
      </c>
      <c r="Q12" s="83">
        <f t="shared" si="2"/>
        <v>1.743222222222222</v>
      </c>
      <c r="R12" s="55"/>
      <c r="S12" s="58"/>
    </row>
    <row r="13" spans="1:19" ht="15.75" thickBot="1" x14ac:dyDescent="0.3">
      <c r="A13" s="54"/>
      <c r="B13" s="14"/>
      <c r="C13" s="55"/>
      <c r="D13" s="112" t="s">
        <v>376</v>
      </c>
      <c r="E13" s="91" t="s">
        <v>372</v>
      </c>
      <c r="F13" s="33">
        <v>182992.7</v>
      </c>
      <c r="G13" s="65">
        <f>1441174/12</f>
        <v>120097.83333333333</v>
      </c>
      <c r="H13" s="65">
        <v>63009.440000000002</v>
      </c>
      <c r="I13" s="65">
        <f>1441174/12</f>
        <v>120097.83333333333</v>
      </c>
      <c r="J13" s="65"/>
      <c r="K13" s="65">
        <f>1441174/12</f>
        <v>120097.83333333333</v>
      </c>
      <c r="L13" s="66">
        <f t="shared" si="0"/>
        <v>246002.14</v>
      </c>
      <c r="M13" s="33">
        <f t="shared" si="1"/>
        <v>360293.5</v>
      </c>
      <c r="N13" s="67">
        <f t="shared" si="3"/>
        <v>68.278262028041041</v>
      </c>
      <c r="O13" s="66">
        <f>307325.97+L13</f>
        <v>553328.11</v>
      </c>
      <c r="P13" s="82">
        <f>360293.5+M13</f>
        <v>720587</v>
      </c>
      <c r="Q13" s="83">
        <f t="shared" si="2"/>
        <v>76.788522412977201</v>
      </c>
      <c r="R13" s="55"/>
      <c r="S13" s="58"/>
    </row>
    <row r="14" spans="1:19" ht="15.75" thickBot="1" x14ac:dyDescent="0.3">
      <c r="A14" s="54"/>
      <c r="B14" s="14"/>
      <c r="C14" s="55"/>
      <c r="D14" s="112" t="s">
        <v>377</v>
      </c>
      <c r="E14" s="91" t="s">
        <v>372</v>
      </c>
      <c r="F14" s="33"/>
      <c r="G14" s="65">
        <f>323690/12</f>
        <v>26974.166666666668</v>
      </c>
      <c r="H14" s="65"/>
      <c r="I14" s="65">
        <f>323690/12</f>
        <v>26974.166666666668</v>
      </c>
      <c r="J14" s="65"/>
      <c r="K14" s="65">
        <f>323690/12</f>
        <v>26974.166666666668</v>
      </c>
      <c r="L14" s="66">
        <f t="shared" si="0"/>
        <v>0</v>
      </c>
      <c r="M14" s="33">
        <f t="shared" si="1"/>
        <v>80922.5</v>
      </c>
      <c r="N14" s="67">
        <f t="shared" si="3"/>
        <v>0</v>
      </c>
      <c r="O14" s="66">
        <f>0+L14</f>
        <v>0</v>
      </c>
      <c r="P14" s="82">
        <f>323690/4+M14</f>
        <v>161845</v>
      </c>
      <c r="Q14" s="83">
        <f t="shared" si="2"/>
        <v>0</v>
      </c>
      <c r="R14" s="55"/>
      <c r="S14" s="58"/>
    </row>
    <row r="15" spans="1:19" x14ac:dyDescent="0.25">
      <c r="A15" s="54"/>
      <c r="B15" s="14"/>
      <c r="C15" s="55"/>
      <c r="D15" s="112" t="s">
        <v>378</v>
      </c>
      <c r="E15" s="91" t="s">
        <v>372</v>
      </c>
      <c r="F15" s="33">
        <v>0</v>
      </c>
      <c r="G15" s="65">
        <f>182950/12</f>
        <v>15245.833333333334</v>
      </c>
      <c r="H15" s="65">
        <v>0</v>
      </c>
      <c r="I15" s="65">
        <f>182950/12</f>
        <v>15245.833333333334</v>
      </c>
      <c r="J15" s="65">
        <v>0</v>
      </c>
      <c r="K15" s="65">
        <f>182950/12</f>
        <v>15245.833333333334</v>
      </c>
      <c r="L15" s="66">
        <f t="shared" si="0"/>
        <v>0</v>
      </c>
      <c r="M15" s="33">
        <f t="shared" si="1"/>
        <v>45737.5</v>
      </c>
      <c r="N15" s="67">
        <f t="shared" si="3"/>
        <v>0</v>
      </c>
      <c r="O15" s="66">
        <f>0+L15</f>
        <v>0</v>
      </c>
      <c r="P15" s="82">
        <f>45737.5+M15</f>
        <v>91475</v>
      </c>
      <c r="Q15" s="83">
        <f t="shared" si="2"/>
        <v>0</v>
      </c>
      <c r="R15" s="55"/>
      <c r="S15" s="58"/>
    </row>
    <row r="16" spans="1:19" hidden="1" x14ac:dyDescent="0.25">
      <c r="A16" s="54"/>
      <c r="B16" s="14"/>
      <c r="C16" s="55"/>
      <c r="D16" s="112" t="s">
        <v>198</v>
      </c>
      <c r="E16" s="80" t="s">
        <v>266</v>
      </c>
      <c r="F16" s="33">
        <f>2161928.54+1331733</f>
        <v>3493661.54</v>
      </c>
      <c r="G16" s="65">
        <f>(12000000+10052790.45)/12</f>
        <v>1837732.5374999999</v>
      </c>
      <c r="H16" s="65">
        <f>1278198.92+1331733</f>
        <v>2609931.92</v>
      </c>
      <c r="I16" s="65">
        <f>(12000000+10052790.45)/12</f>
        <v>1837732.5374999999</v>
      </c>
      <c r="J16" s="65">
        <v>0</v>
      </c>
      <c r="K16" s="65">
        <f>(12000000+10052790.45)/12</f>
        <v>1837732.5374999999</v>
      </c>
      <c r="L16" s="66">
        <f t="shared" si="0"/>
        <v>6103593.46</v>
      </c>
      <c r="M16" s="33">
        <f t="shared" si="1"/>
        <v>5513197.6124999998</v>
      </c>
      <c r="N16" s="67">
        <f t="shared" si="3"/>
        <v>110.70877354661484</v>
      </c>
      <c r="O16" s="66">
        <f>5214343.69+L16</f>
        <v>11317937.15</v>
      </c>
      <c r="P16" s="82">
        <f>5513197.61+M16</f>
        <v>11026395.2225</v>
      </c>
      <c r="Q16" s="83">
        <f t="shared" si="2"/>
        <v>102.64403661955714</v>
      </c>
      <c r="R16" s="55"/>
      <c r="S16" s="58"/>
    </row>
    <row r="17" spans="1:19" hidden="1" x14ac:dyDescent="0.25">
      <c r="A17" s="54"/>
      <c r="B17" s="14"/>
      <c r="C17" s="55"/>
      <c r="D17" s="112" t="s">
        <v>24</v>
      </c>
      <c r="E17" s="80" t="s">
        <v>267</v>
      </c>
      <c r="F17" s="33">
        <v>0</v>
      </c>
      <c r="G17" s="65">
        <f>193349.12/12</f>
        <v>16112.426666666666</v>
      </c>
      <c r="H17" s="65">
        <v>0</v>
      </c>
      <c r="I17" s="65">
        <v>16112.426666666666</v>
      </c>
      <c r="J17" s="65">
        <v>0</v>
      </c>
      <c r="K17" s="81">
        <v>16112.426666666666</v>
      </c>
      <c r="L17" s="66">
        <f t="shared" si="0"/>
        <v>0</v>
      </c>
      <c r="M17" s="33">
        <f t="shared" si="1"/>
        <v>48337.279999999999</v>
      </c>
      <c r="N17" s="67">
        <f t="shared" si="3"/>
        <v>0</v>
      </c>
      <c r="O17" s="66">
        <v>193349.12</v>
      </c>
      <c r="P17" s="82">
        <f>48337.28+M17</f>
        <v>96674.559999999998</v>
      </c>
      <c r="Q17" s="83">
        <f t="shared" si="2"/>
        <v>200</v>
      </c>
      <c r="R17" s="55"/>
      <c r="S17" s="58"/>
    </row>
    <row r="18" spans="1:19" hidden="1" x14ac:dyDescent="0.25">
      <c r="A18" s="54"/>
      <c r="B18" s="14"/>
      <c r="C18" s="55"/>
      <c r="D18" s="112" t="s">
        <v>199</v>
      </c>
      <c r="E18" s="80" t="s">
        <v>268</v>
      </c>
      <c r="F18" s="33">
        <v>0</v>
      </c>
      <c r="G18" s="65">
        <f t="shared" ref="G18:G24" si="4">+I18</f>
        <v>2270.8333333333335</v>
      </c>
      <c r="H18" s="65">
        <v>0</v>
      </c>
      <c r="I18" s="65">
        <v>2270.8333333333335</v>
      </c>
      <c r="J18" s="65">
        <v>0</v>
      </c>
      <c r="K18" s="81">
        <v>2270.8333333333335</v>
      </c>
      <c r="L18" s="66">
        <f t="shared" si="0"/>
        <v>0</v>
      </c>
      <c r="M18" s="33">
        <f t="shared" si="1"/>
        <v>6812.5</v>
      </c>
      <c r="N18" s="67">
        <f t="shared" si="3"/>
        <v>0</v>
      </c>
      <c r="O18" s="66">
        <v>0</v>
      </c>
      <c r="P18" s="82">
        <f>6812.5+M18</f>
        <v>13625</v>
      </c>
      <c r="Q18" s="83">
        <f t="shared" si="2"/>
        <v>0</v>
      </c>
      <c r="R18" s="55"/>
      <c r="S18" s="58"/>
    </row>
    <row r="19" spans="1:19" hidden="1" x14ac:dyDescent="0.25">
      <c r="A19" s="54"/>
      <c r="B19" s="14"/>
      <c r="C19" s="55"/>
      <c r="D19" s="113" t="s">
        <v>25</v>
      </c>
      <c r="E19" s="80" t="s">
        <v>269</v>
      </c>
      <c r="F19" s="33">
        <v>2000</v>
      </c>
      <c r="G19" s="65">
        <f t="shared" si="4"/>
        <v>1816.6666666666667</v>
      </c>
      <c r="H19" s="65">
        <v>106.24</v>
      </c>
      <c r="I19" s="65">
        <v>1816.6666666666667</v>
      </c>
      <c r="J19" s="65">
        <v>0</v>
      </c>
      <c r="K19" s="81">
        <v>1816.6666666666667</v>
      </c>
      <c r="L19" s="66">
        <f t="shared" si="0"/>
        <v>2106.2399999999998</v>
      </c>
      <c r="M19" s="33">
        <f t="shared" si="1"/>
        <v>5450</v>
      </c>
      <c r="N19" s="67">
        <f t="shared" si="3"/>
        <v>38.64660550458715</v>
      </c>
      <c r="O19" s="66">
        <f>3100+L19</f>
        <v>5206.24</v>
      </c>
      <c r="P19" s="82">
        <f>5450+M19</f>
        <v>10900</v>
      </c>
      <c r="Q19" s="83">
        <f t="shared" si="2"/>
        <v>47.763669724770644</v>
      </c>
      <c r="R19" s="55"/>
      <c r="S19" s="58"/>
    </row>
    <row r="20" spans="1:19" hidden="1" x14ac:dyDescent="0.25">
      <c r="A20" s="54"/>
      <c r="B20" s="14"/>
      <c r="C20" s="55"/>
      <c r="D20" s="113" t="s">
        <v>200</v>
      </c>
      <c r="E20" s="80" t="s">
        <v>270</v>
      </c>
      <c r="F20" s="33">
        <v>0</v>
      </c>
      <c r="G20" s="65">
        <f t="shared" si="4"/>
        <v>3166.6666666666665</v>
      </c>
      <c r="H20" s="65">
        <v>0</v>
      </c>
      <c r="I20" s="65">
        <v>3166.6666666666665</v>
      </c>
      <c r="J20" s="65">
        <v>0</v>
      </c>
      <c r="K20" s="81">
        <v>3166.6666666666665</v>
      </c>
      <c r="L20" s="66">
        <f t="shared" si="0"/>
        <v>0</v>
      </c>
      <c r="M20" s="33">
        <f t="shared" si="1"/>
        <v>9500</v>
      </c>
      <c r="N20" s="67">
        <f t="shared" si="3"/>
        <v>0</v>
      </c>
      <c r="O20" s="66">
        <v>0</v>
      </c>
      <c r="P20" s="82">
        <f>9500+M20</f>
        <v>19000</v>
      </c>
      <c r="Q20" s="83">
        <f t="shared" si="2"/>
        <v>0</v>
      </c>
      <c r="R20" s="55"/>
      <c r="S20" s="58"/>
    </row>
    <row r="21" spans="1:19" hidden="1" x14ac:dyDescent="0.25">
      <c r="A21" s="54"/>
      <c r="B21" s="14"/>
      <c r="C21" s="55"/>
      <c r="D21" s="113" t="s">
        <v>26</v>
      </c>
      <c r="E21" s="80" t="s">
        <v>271</v>
      </c>
      <c r="F21" s="33">
        <v>0</v>
      </c>
      <c r="G21" s="65">
        <f t="shared" si="4"/>
        <v>416.66666666666669</v>
      </c>
      <c r="H21" s="65">
        <v>0</v>
      </c>
      <c r="I21" s="65">
        <v>416.66666666666669</v>
      </c>
      <c r="J21" s="65">
        <v>0</v>
      </c>
      <c r="K21" s="81">
        <v>416.66666666666669</v>
      </c>
      <c r="L21" s="66">
        <f t="shared" si="0"/>
        <v>0</v>
      </c>
      <c r="M21" s="33">
        <f t="shared" si="1"/>
        <v>1250</v>
      </c>
      <c r="N21" s="67">
        <f t="shared" si="3"/>
        <v>0</v>
      </c>
      <c r="O21" s="66">
        <v>0</v>
      </c>
      <c r="P21" s="82">
        <f>1250+M21</f>
        <v>2500</v>
      </c>
      <c r="Q21" s="83">
        <f t="shared" si="2"/>
        <v>0</v>
      </c>
      <c r="R21" s="55"/>
      <c r="S21" s="58"/>
    </row>
    <row r="22" spans="1:19" hidden="1" x14ac:dyDescent="0.25">
      <c r="A22" s="54"/>
      <c r="B22" s="14"/>
      <c r="C22" s="55"/>
      <c r="D22" s="113" t="s">
        <v>201</v>
      </c>
      <c r="E22" s="80" t="s">
        <v>272</v>
      </c>
      <c r="F22" s="33">
        <v>0</v>
      </c>
      <c r="G22" s="65">
        <f t="shared" si="4"/>
        <v>416.66666666666669</v>
      </c>
      <c r="H22" s="65">
        <v>0</v>
      </c>
      <c r="I22" s="65">
        <v>416.66666666666669</v>
      </c>
      <c r="J22" s="65">
        <v>0</v>
      </c>
      <c r="K22" s="81">
        <v>416.66666666666669</v>
      </c>
      <c r="L22" s="66">
        <f t="shared" si="0"/>
        <v>0</v>
      </c>
      <c r="M22" s="33">
        <f t="shared" si="1"/>
        <v>1250</v>
      </c>
      <c r="N22" s="67">
        <f t="shared" si="3"/>
        <v>0</v>
      </c>
      <c r="O22" s="66">
        <v>0</v>
      </c>
      <c r="P22" s="82">
        <f>1250+M22</f>
        <v>2500</v>
      </c>
      <c r="Q22" s="83">
        <f t="shared" si="2"/>
        <v>0</v>
      </c>
      <c r="R22" s="55"/>
      <c r="S22" s="58"/>
    </row>
    <row r="23" spans="1:19" hidden="1" x14ac:dyDescent="0.25">
      <c r="A23" s="54"/>
      <c r="B23" s="14"/>
      <c r="C23" s="55"/>
      <c r="D23" s="113" t="s">
        <v>27</v>
      </c>
      <c r="E23" s="80" t="s">
        <v>273</v>
      </c>
      <c r="F23" s="33">
        <v>0</v>
      </c>
      <c r="G23" s="65">
        <f t="shared" si="4"/>
        <v>2875</v>
      </c>
      <c r="H23" s="65">
        <v>0</v>
      </c>
      <c r="I23" s="65">
        <v>2875</v>
      </c>
      <c r="J23" s="65">
        <v>0</v>
      </c>
      <c r="K23" s="81">
        <v>2875</v>
      </c>
      <c r="L23" s="66">
        <f t="shared" si="0"/>
        <v>0</v>
      </c>
      <c r="M23" s="33">
        <f t="shared" si="1"/>
        <v>8625</v>
      </c>
      <c r="N23" s="67">
        <f t="shared" si="3"/>
        <v>0</v>
      </c>
      <c r="O23" s="66">
        <v>0</v>
      </c>
      <c r="P23" s="82">
        <f>8625+M23</f>
        <v>17250</v>
      </c>
      <c r="Q23" s="83">
        <f t="shared" si="2"/>
        <v>0</v>
      </c>
      <c r="R23" s="55"/>
      <c r="S23" s="58"/>
    </row>
    <row r="24" spans="1:19" hidden="1" x14ac:dyDescent="0.25">
      <c r="A24" s="54"/>
      <c r="B24" s="14"/>
      <c r="C24" s="55"/>
      <c r="D24" s="113" t="s">
        <v>28</v>
      </c>
      <c r="E24" s="80" t="s">
        <v>274</v>
      </c>
      <c r="F24" s="33">
        <v>0</v>
      </c>
      <c r="G24" s="65">
        <f t="shared" si="4"/>
        <v>1833.3333333333333</v>
      </c>
      <c r="H24" s="65">
        <v>0</v>
      </c>
      <c r="I24" s="65">
        <v>1833.3333333333333</v>
      </c>
      <c r="J24" s="65">
        <v>0</v>
      </c>
      <c r="K24" s="81">
        <v>1833.3333333333333</v>
      </c>
      <c r="L24" s="66">
        <f t="shared" si="0"/>
        <v>0</v>
      </c>
      <c r="M24" s="33">
        <f t="shared" si="1"/>
        <v>5500</v>
      </c>
      <c r="N24" s="67">
        <f t="shared" si="3"/>
        <v>0</v>
      </c>
      <c r="O24" s="66">
        <v>0</v>
      </c>
      <c r="P24" s="82">
        <f>5500+M24</f>
        <v>11000</v>
      </c>
      <c r="Q24" s="83">
        <f t="shared" si="2"/>
        <v>0</v>
      </c>
      <c r="R24" s="55"/>
      <c r="S24" s="58"/>
    </row>
    <row r="25" spans="1:19" hidden="1" x14ac:dyDescent="0.25">
      <c r="A25" s="54"/>
      <c r="B25" s="14"/>
      <c r="C25" s="55"/>
      <c r="D25" s="113" t="s">
        <v>202</v>
      </c>
      <c r="E25" s="80" t="s">
        <v>275</v>
      </c>
      <c r="F25" s="33">
        <v>0</v>
      </c>
      <c r="G25" s="65">
        <f>13500/12</f>
        <v>1125</v>
      </c>
      <c r="H25" s="65">
        <v>0</v>
      </c>
      <c r="I25" s="65">
        <f>13500/12</f>
        <v>1125</v>
      </c>
      <c r="J25" s="65">
        <v>0</v>
      </c>
      <c r="K25" s="65">
        <f>13500/12</f>
        <v>1125</v>
      </c>
      <c r="L25" s="66">
        <f t="shared" si="0"/>
        <v>0</v>
      </c>
      <c r="M25" s="33">
        <f t="shared" si="1"/>
        <v>3375</v>
      </c>
      <c r="N25" s="67">
        <f t="shared" si="3"/>
        <v>0</v>
      </c>
      <c r="O25" s="66">
        <v>0</v>
      </c>
      <c r="P25" s="82">
        <f>3375+M25</f>
        <v>6750</v>
      </c>
      <c r="Q25" s="83">
        <f t="shared" si="2"/>
        <v>0</v>
      </c>
      <c r="R25" s="55"/>
      <c r="S25" s="58"/>
    </row>
    <row r="26" spans="1:19" hidden="1" x14ac:dyDescent="0.25">
      <c r="A26" s="54"/>
      <c r="B26" s="14"/>
      <c r="C26" s="55"/>
      <c r="D26" s="113" t="s">
        <v>29</v>
      </c>
      <c r="E26" s="80" t="s">
        <v>276</v>
      </c>
      <c r="F26" s="33">
        <v>0</v>
      </c>
      <c r="G26" s="65">
        <v>0</v>
      </c>
      <c r="H26" s="65">
        <v>0</v>
      </c>
      <c r="I26" s="65">
        <v>0</v>
      </c>
      <c r="J26" s="65">
        <v>0</v>
      </c>
      <c r="K26" s="81">
        <v>0</v>
      </c>
      <c r="L26" s="66">
        <f t="shared" si="0"/>
        <v>0</v>
      </c>
      <c r="M26" s="33">
        <f t="shared" si="1"/>
        <v>0</v>
      </c>
      <c r="N26" s="67">
        <v>0</v>
      </c>
      <c r="O26" s="66">
        <v>0</v>
      </c>
      <c r="P26" s="82">
        <v>0</v>
      </c>
      <c r="Q26" s="83">
        <v>0</v>
      </c>
      <c r="R26" s="55"/>
      <c r="S26" s="58"/>
    </row>
    <row r="27" spans="1:19" hidden="1" x14ac:dyDescent="0.25">
      <c r="A27" s="54"/>
      <c r="B27" s="14"/>
      <c r="C27" s="55"/>
      <c r="D27" s="113" t="s">
        <v>203</v>
      </c>
      <c r="E27" s="80" t="s">
        <v>277</v>
      </c>
      <c r="F27" s="33">
        <v>5000</v>
      </c>
      <c r="G27" s="65">
        <f>494635.79/12</f>
        <v>41219.649166666662</v>
      </c>
      <c r="H27" s="65">
        <v>0</v>
      </c>
      <c r="I27" s="65">
        <f>494635.79/12</f>
        <v>41219.649166666662</v>
      </c>
      <c r="J27" s="65">
        <v>0</v>
      </c>
      <c r="K27" s="65">
        <f>494635.79/12</f>
        <v>41219.649166666662</v>
      </c>
      <c r="L27" s="66">
        <f t="shared" si="0"/>
        <v>5000</v>
      </c>
      <c r="M27" s="33">
        <f t="shared" si="1"/>
        <v>123658.94749999998</v>
      </c>
      <c r="N27" s="67">
        <f t="shared" ref="N27:N58" si="5">+L27/M27*100</f>
        <v>4.0433790688700473</v>
      </c>
      <c r="O27" s="66">
        <f>489625.79+L27</f>
        <v>494625.79</v>
      </c>
      <c r="P27" s="82">
        <f>123656.45+M27</f>
        <v>247315.39749999996</v>
      </c>
      <c r="Q27" s="83">
        <f t="shared" ref="Q27:Q58" si="6">O27/P27*100</f>
        <v>199.99797626833973</v>
      </c>
      <c r="R27" s="55"/>
      <c r="S27" s="58"/>
    </row>
    <row r="28" spans="1:19" hidden="1" x14ac:dyDescent="0.25">
      <c r="A28" s="54"/>
      <c r="B28" s="14"/>
      <c r="C28" s="55"/>
      <c r="D28" s="113" t="s">
        <v>30</v>
      </c>
      <c r="E28" s="80" t="s">
        <v>278</v>
      </c>
      <c r="F28" s="33">
        <v>0</v>
      </c>
      <c r="G28" s="65">
        <f>+I28</f>
        <v>625</v>
      </c>
      <c r="H28" s="65">
        <v>0</v>
      </c>
      <c r="I28" s="65">
        <v>625</v>
      </c>
      <c r="J28" s="65">
        <v>0</v>
      </c>
      <c r="K28" s="81">
        <v>625</v>
      </c>
      <c r="L28" s="66">
        <f t="shared" si="0"/>
        <v>0</v>
      </c>
      <c r="M28" s="33">
        <f t="shared" si="1"/>
        <v>1875</v>
      </c>
      <c r="N28" s="67">
        <f t="shared" si="5"/>
        <v>0</v>
      </c>
      <c r="O28" s="66">
        <v>0</v>
      </c>
      <c r="P28" s="82">
        <f>1875+M28</f>
        <v>3750</v>
      </c>
      <c r="Q28" s="83">
        <f t="shared" si="6"/>
        <v>0</v>
      </c>
      <c r="R28" s="55"/>
      <c r="S28" s="58"/>
    </row>
    <row r="29" spans="1:19" hidden="1" x14ac:dyDescent="0.25">
      <c r="A29" s="54"/>
      <c r="B29" s="14"/>
      <c r="C29" s="55"/>
      <c r="D29" s="113" t="s">
        <v>204</v>
      </c>
      <c r="E29" s="80" t="s">
        <v>279</v>
      </c>
      <c r="F29" s="33">
        <v>0</v>
      </c>
      <c r="G29" s="65">
        <f>+I29</f>
        <v>4000</v>
      </c>
      <c r="H29" s="65">
        <v>0</v>
      </c>
      <c r="I29" s="65">
        <v>4000</v>
      </c>
      <c r="J29" s="65">
        <v>0</v>
      </c>
      <c r="K29" s="81">
        <v>4000</v>
      </c>
      <c r="L29" s="66">
        <f t="shared" si="0"/>
        <v>0</v>
      </c>
      <c r="M29" s="33">
        <f t="shared" si="1"/>
        <v>12000</v>
      </c>
      <c r="N29" s="67">
        <f t="shared" si="5"/>
        <v>0</v>
      </c>
      <c r="O29" s="66">
        <v>12057.779999999999</v>
      </c>
      <c r="P29" s="82">
        <f>12000+M29</f>
        <v>24000</v>
      </c>
      <c r="Q29" s="83">
        <f t="shared" si="6"/>
        <v>50.240749999999998</v>
      </c>
      <c r="R29" s="55"/>
      <c r="S29" s="58"/>
    </row>
    <row r="30" spans="1:19" hidden="1" x14ac:dyDescent="0.25">
      <c r="A30" s="54"/>
      <c r="B30" s="14"/>
      <c r="C30" s="55"/>
      <c r="D30" s="113" t="s">
        <v>205</v>
      </c>
      <c r="E30" s="80" t="s">
        <v>280</v>
      </c>
      <c r="F30" s="33">
        <v>0</v>
      </c>
      <c r="G30" s="65">
        <v>416.67</v>
      </c>
      <c r="H30" s="65">
        <v>0</v>
      </c>
      <c r="I30" s="65">
        <v>416.67</v>
      </c>
      <c r="J30" s="65">
        <v>0</v>
      </c>
      <c r="K30" s="81">
        <v>416.67</v>
      </c>
      <c r="L30" s="66">
        <f t="shared" si="0"/>
        <v>0</v>
      </c>
      <c r="M30" s="33">
        <f t="shared" si="1"/>
        <v>1250.01</v>
      </c>
      <c r="N30" s="67">
        <f t="shared" si="5"/>
        <v>0</v>
      </c>
      <c r="O30" s="66">
        <v>0</v>
      </c>
      <c r="P30" s="82">
        <f>2500+M30</f>
        <v>3750.01</v>
      </c>
      <c r="Q30" s="83">
        <f t="shared" si="6"/>
        <v>0</v>
      </c>
      <c r="R30" s="55"/>
      <c r="S30" s="58"/>
    </row>
    <row r="31" spans="1:19" hidden="1" x14ac:dyDescent="0.25">
      <c r="A31" s="54"/>
      <c r="B31" s="14"/>
      <c r="C31" s="55"/>
      <c r="D31" s="113" t="s">
        <v>31</v>
      </c>
      <c r="E31" s="80" t="s">
        <v>281</v>
      </c>
      <c r="F31" s="33">
        <v>0</v>
      </c>
      <c r="G31" s="65">
        <f t="shared" ref="G31:G36" si="7">+I31</f>
        <v>833.33333333333337</v>
      </c>
      <c r="H31" s="65">
        <v>0</v>
      </c>
      <c r="I31" s="65">
        <v>833.33333333333337</v>
      </c>
      <c r="J31" s="65">
        <v>0</v>
      </c>
      <c r="K31" s="81">
        <v>833.33333333333337</v>
      </c>
      <c r="L31" s="66">
        <f t="shared" si="0"/>
        <v>0</v>
      </c>
      <c r="M31" s="33">
        <f t="shared" si="1"/>
        <v>2500</v>
      </c>
      <c r="N31" s="67">
        <f t="shared" si="5"/>
        <v>0</v>
      </c>
      <c r="O31" s="66">
        <v>0</v>
      </c>
      <c r="P31" s="82">
        <f>2500+M31</f>
        <v>5000</v>
      </c>
      <c r="Q31" s="83">
        <f t="shared" si="6"/>
        <v>0</v>
      </c>
      <c r="R31" s="55"/>
      <c r="S31" s="58"/>
    </row>
    <row r="32" spans="1:19" hidden="1" x14ac:dyDescent="0.25">
      <c r="A32" s="54"/>
      <c r="B32" s="14"/>
      <c r="C32" s="55"/>
      <c r="D32" s="113" t="s">
        <v>32</v>
      </c>
      <c r="E32" s="80" t="s">
        <v>282</v>
      </c>
      <c r="F32" s="33">
        <v>0</v>
      </c>
      <c r="G32" s="65">
        <f t="shared" si="7"/>
        <v>541.66666666666663</v>
      </c>
      <c r="H32" s="65">
        <v>0</v>
      </c>
      <c r="I32" s="65">
        <v>541.66666666666663</v>
      </c>
      <c r="J32" s="65">
        <v>0</v>
      </c>
      <c r="K32" s="81">
        <v>541.66666666666663</v>
      </c>
      <c r="L32" s="66">
        <f t="shared" si="0"/>
        <v>0</v>
      </c>
      <c r="M32" s="33">
        <f t="shared" si="1"/>
        <v>1625</v>
      </c>
      <c r="N32" s="67">
        <f t="shared" si="5"/>
        <v>0</v>
      </c>
      <c r="O32" s="66">
        <v>0</v>
      </c>
      <c r="P32" s="82">
        <f>1625+M32</f>
        <v>3250</v>
      </c>
      <c r="Q32" s="83">
        <f t="shared" si="6"/>
        <v>0</v>
      </c>
      <c r="R32" s="55"/>
      <c r="S32" s="58"/>
    </row>
    <row r="33" spans="1:19" hidden="1" x14ac:dyDescent="0.25">
      <c r="A33" s="54"/>
      <c r="B33" s="14"/>
      <c r="C33" s="55"/>
      <c r="D33" s="113" t="s">
        <v>33</v>
      </c>
      <c r="E33" s="80" t="s">
        <v>283</v>
      </c>
      <c r="F33" s="33">
        <v>0</v>
      </c>
      <c r="G33" s="65">
        <f t="shared" si="7"/>
        <v>3558.3333333333335</v>
      </c>
      <c r="H33" s="65">
        <v>0</v>
      </c>
      <c r="I33" s="65">
        <v>3558.3333333333335</v>
      </c>
      <c r="J33" s="65">
        <v>0</v>
      </c>
      <c r="K33" s="81">
        <v>3558.3333333333335</v>
      </c>
      <c r="L33" s="66">
        <f t="shared" si="0"/>
        <v>0</v>
      </c>
      <c r="M33" s="33">
        <f t="shared" si="1"/>
        <v>10675</v>
      </c>
      <c r="N33" s="67">
        <f t="shared" si="5"/>
        <v>0</v>
      </c>
      <c r="O33" s="66">
        <v>0</v>
      </c>
      <c r="P33" s="82">
        <f>10675+M33</f>
        <v>21350</v>
      </c>
      <c r="Q33" s="83">
        <f t="shared" si="6"/>
        <v>0</v>
      </c>
      <c r="R33" s="55"/>
      <c r="S33" s="58"/>
    </row>
    <row r="34" spans="1:19" hidden="1" x14ac:dyDescent="0.25">
      <c r="A34" s="54"/>
      <c r="B34" s="14"/>
      <c r="C34" s="55"/>
      <c r="D34" s="113" t="s">
        <v>34</v>
      </c>
      <c r="E34" s="80" t="s">
        <v>284</v>
      </c>
      <c r="F34" s="33">
        <v>0</v>
      </c>
      <c r="G34" s="65">
        <f t="shared" si="7"/>
        <v>991.66666666666663</v>
      </c>
      <c r="H34" s="65">
        <v>0</v>
      </c>
      <c r="I34" s="65">
        <v>991.66666666666663</v>
      </c>
      <c r="J34" s="65">
        <v>0</v>
      </c>
      <c r="K34" s="81">
        <v>991.66666666666663</v>
      </c>
      <c r="L34" s="66">
        <f t="shared" si="0"/>
        <v>0</v>
      </c>
      <c r="M34" s="33">
        <f t="shared" si="1"/>
        <v>2975</v>
      </c>
      <c r="N34" s="67">
        <f t="shared" si="5"/>
        <v>0</v>
      </c>
      <c r="O34" s="66">
        <v>0</v>
      </c>
      <c r="P34" s="82">
        <f>2975+M34</f>
        <v>5950</v>
      </c>
      <c r="Q34" s="83">
        <f t="shared" si="6"/>
        <v>0</v>
      </c>
      <c r="R34" s="55"/>
      <c r="S34" s="58"/>
    </row>
    <row r="35" spans="1:19" hidden="1" x14ac:dyDescent="0.25">
      <c r="A35" s="54"/>
      <c r="B35" s="14"/>
      <c r="C35" s="55"/>
      <c r="D35" s="113" t="s">
        <v>206</v>
      </c>
      <c r="E35" s="80" t="s">
        <v>285</v>
      </c>
      <c r="F35" s="33">
        <v>0</v>
      </c>
      <c r="G35" s="65">
        <f t="shared" si="7"/>
        <v>916.66666666666663</v>
      </c>
      <c r="H35" s="65">
        <v>0</v>
      </c>
      <c r="I35" s="65">
        <v>916.66666666666663</v>
      </c>
      <c r="J35" s="65">
        <v>0</v>
      </c>
      <c r="K35" s="81">
        <v>916.66666666666663</v>
      </c>
      <c r="L35" s="66">
        <f t="shared" si="0"/>
        <v>0</v>
      </c>
      <c r="M35" s="33">
        <f t="shared" si="1"/>
        <v>2750</v>
      </c>
      <c r="N35" s="67">
        <f t="shared" si="5"/>
        <v>0</v>
      </c>
      <c r="O35" s="66">
        <v>0</v>
      </c>
      <c r="P35" s="82">
        <f>2750+M35</f>
        <v>5500</v>
      </c>
      <c r="Q35" s="83">
        <f t="shared" si="6"/>
        <v>0</v>
      </c>
      <c r="R35" s="55"/>
      <c r="S35" s="58"/>
    </row>
    <row r="36" spans="1:19" hidden="1" x14ac:dyDescent="0.25">
      <c r="A36" s="54"/>
      <c r="B36" s="14"/>
      <c r="C36" s="55"/>
      <c r="D36" s="113" t="s">
        <v>207</v>
      </c>
      <c r="E36" s="80" t="s">
        <v>286</v>
      </c>
      <c r="F36" s="33">
        <v>0</v>
      </c>
      <c r="G36" s="65">
        <f t="shared" si="7"/>
        <v>7083.3325000000004</v>
      </c>
      <c r="H36" s="65">
        <v>0</v>
      </c>
      <c r="I36" s="65">
        <v>7083.3325000000004</v>
      </c>
      <c r="J36" s="65">
        <v>0</v>
      </c>
      <c r="K36" s="81">
        <v>7083.3325000000004</v>
      </c>
      <c r="L36" s="66">
        <f t="shared" si="0"/>
        <v>0</v>
      </c>
      <c r="M36" s="33">
        <f t="shared" si="1"/>
        <v>21249.997500000001</v>
      </c>
      <c r="N36" s="67">
        <f t="shared" si="5"/>
        <v>0</v>
      </c>
      <c r="O36" s="66">
        <v>84999.99</v>
      </c>
      <c r="P36" s="82">
        <f>21249.9975+M36</f>
        <v>42499.995000000003</v>
      </c>
      <c r="Q36" s="83">
        <f t="shared" si="6"/>
        <v>200</v>
      </c>
      <c r="R36" s="55"/>
      <c r="S36" s="58"/>
    </row>
    <row r="37" spans="1:19" hidden="1" x14ac:dyDescent="0.25">
      <c r="A37" s="54"/>
      <c r="B37" s="14"/>
      <c r="C37" s="55"/>
      <c r="D37" s="113" t="s">
        <v>35</v>
      </c>
      <c r="E37" s="80" t="s">
        <v>287</v>
      </c>
      <c r="F37" s="33">
        <v>0</v>
      </c>
      <c r="G37" s="65">
        <v>250</v>
      </c>
      <c r="H37" s="65">
        <v>0</v>
      </c>
      <c r="I37" s="65">
        <v>250</v>
      </c>
      <c r="J37" s="81">
        <v>0</v>
      </c>
      <c r="K37" s="81">
        <v>250</v>
      </c>
      <c r="L37" s="66">
        <f t="shared" ref="L37:L68" si="8">+F37+H37+J37</f>
        <v>0</v>
      </c>
      <c r="M37" s="33">
        <f t="shared" ref="M37:M68" si="9">+G37+I37+K37</f>
        <v>750</v>
      </c>
      <c r="N37" s="67">
        <f t="shared" si="5"/>
        <v>0</v>
      </c>
      <c r="O37" s="66">
        <v>0</v>
      </c>
      <c r="P37" s="82">
        <v>1500</v>
      </c>
      <c r="Q37" s="83">
        <f t="shared" si="6"/>
        <v>0</v>
      </c>
      <c r="R37" s="55"/>
      <c r="S37" s="58"/>
    </row>
    <row r="38" spans="1:19" hidden="1" x14ac:dyDescent="0.25">
      <c r="A38" s="54"/>
      <c r="B38" s="14"/>
      <c r="C38" s="55"/>
      <c r="D38" s="113" t="s">
        <v>36</v>
      </c>
      <c r="E38" s="80" t="s">
        <v>288</v>
      </c>
      <c r="F38" s="33">
        <v>0</v>
      </c>
      <c r="G38" s="65">
        <v>250</v>
      </c>
      <c r="H38" s="65">
        <v>0</v>
      </c>
      <c r="I38" s="65">
        <v>250</v>
      </c>
      <c r="J38" s="81">
        <v>0</v>
      </c>
      <c r="K38" s="81">
        <v>250</v>
      </c>
      <c r="L38" s="66">
        <f t="shared" si="8"/>
        <v>0</v>
      </c>
      <c r="M38" s="33">
        <f t="shared" si="9"/>
        <v>750</v>
      </c>
      <c r="N38" s="67">
        <f t="shared" si="5"/>
        <v>0</v>
      </c>
      <c r="O38" s="66">
        <v>0</v>
      </c>
      <c r="P38" s="82">
        <v>1500</v>
      </c>
      <c r="Q38" s="83">
        <f t="shared" si="6"/>
        <v>0</v>
      </c>
      <c r="R38" s="55"/>
      <c r="S38" s="58"/>
    </row>
    <row r="39" spans="1:19" hidden="1" x14ac:dyDescent="0.25">
      <c r="A39" s="54"/>
      <c r="B39" s="14"/>
      <c r="C39" s="55"/>
      <c r="D39" s="113" t="s">
        <v>37</v>
      </c>
      <c r="E39" s="80" t="s">
        <v>289</v>
      </c>
      <c r="F39" s="33">
        <v>0</v>
      </c>
      <c r="G39" s="65">
        <v>166.67</v>
      </c>
      <c r="H39" s="65">
        <v>0</v>
      </c>
      <c r="I39" s="65">
        <v>166.67</v>
      </c>
      <c r="J39" s="81">
        <v>0</v>
      </c>
      <c r="K39" s="81">
        <v>166.67</v>
      </c>
      <c r="L39" s="66">
        <f t="shared" si="8"/>
        <v>0</v>
      </c>
      <c r="M39" s="33">
        <f t="shared" si="9"/>
        <v>500.01</v>
      </c>
      <c r="N39" s="67">
        <f t="shared" si="5"/>
        <v>0</v>
      </c>
      <c r="O39" s="66">
        <v>0</v>
      </c>
      <c r="P39" s="82">
        <v>1000</v>
      </c>
      <c r="Q39" s="83">
        <f t="shared" si="6"/>
        <v>0</v>
      </c>
      <c r="R39" s="55"/>
      <c r="S39" s="58"/>
    </row>
    <row r="40" spans="1:19" hidden="1" x14ac:dyDescent="0.25">
      <c r="A40" s="54"/>
      <c r="B40" s="14"/>
      <c r="C40" s="55"/>
      <c r="D40" s="113" t="s">
        <v>38</v>
      </c>
      <c r="E40" s="80" t="s">
        <v>290</v>
      </c>
      <c r="F40" s="33">
        <v>0</v>
      </c>
      <c r="G40" s="65">
        <v>83.33</v>
      </c>
      <c r="H40" s="65">
        <v>0</v>
      </c>
      <c r="I40" s="65">
        <v>83.33</v>
      </c>
      <c r="J40" s="81">
        <v>0</v>
      </c>
      <c r="K40" s="81">
        <v>83.33</v>
      </c>
      <c r="L40" s="66">
        <f t="shared" si="8"/>
        <v>0</v>
      </c>
      <c r="M40" s="33">
        <f t="shared" si="9"/>
        <v>249.99</v>
      </c>
      <c r="N40" s="67">
        <f t="shared" si="5"/>
        <v>0</v>
      </c>
      <c r="O40" s="66">
        <v>0</v>
      </c>
      <c r="P40" s="82">
        <v>500</v>
      </c>
      <c r="Q40" s="83">
        <f t="shared" si="6"/>
        <v>0</v>
      </c>
      <c r="R40" s="55"/>
      <c r="S40" s="58"/>
    </row>
    <row r="41" spans="1:19" hidden="1" x14ac:dyDescent="0.25">
      <c r="A41" s="54"/>
      <c r="B41" s="14"/>
      <c r="C41" s="55"/>
      <c r="D41" s="113" t="s">
        <v>39</v>
      </c>
      <c r="E41" s="80" t="s">
        <v>291</v>
      </c>
      <c r="F41" s="33">
        <v>0</v>
      </c>
      <c r="G41" s="65">
        <v>166.67</v>
      </c>
      <c r="H41" s="65">
        <v>0</v>
      </c>
      <c r="I41" s="65">
        <v>166.67</v>
      </c>
      <c r="J41" s="81">
        <v>0</v>
      </c>
      <c r="K41" s="81">
        <v>166.67</v>
      </c>
      <c r="L41" s="66">
        <f t="shared" si="8"/>
        <v>0</v>
      </c>
      <c r="M41" s="33">
        <f t="shared" si="9"/>
        <v>500.01</v>
      </c>
      <c r="N41" s="67">
        <f t="shared" si="5"/>
        <v>0</v>
      </c>
      <c r="O41" s="66">
        <v>0</v>
      </c>
      <c r="P41" s="82">
        <v>1000</v>
      </c>
      <c r="Q41" s="83">
        <f t="shared" si="6"/>
        <v>0</v>
      </c>
      <c r="R41" s="55"/>
      <c r="S41" s="58"/>
    </row>
    <row r="42" spans="1:19" hidden="1" x14ac:dyDescent="0.25">
      <c r="A42" s="54"/>
      <c r="B42" s="14"/>
      <c r="C42" s="55"/>
      <c r="D42" s="113" t="s">
        <v>40</v>
      </c>
      <c r="E42" s="80" t="s">
        <v>292</v>
      </c>
      <c r="F42" s="33">
        <v>0</v>
      </c>
      <c r="G42" s="65">
        <v>83.33</v>
      </c>
      <c r="H42" s="65">
        <v>0</v>
      </c>
      <c r="I42" s="65">
        <v>83.33</v>
      </c>
      <c r="J42" s="81">
        <v>0</v>
      </c>
      <c r="K42" s="81">
        <v>83.33</v>
      </c>
      <c r="L42" s="66">
        <f t="shared" si="8"/>
        <v>0</v>
      </c>
      <c r="M42" s="33">
        <f t="shared" si="9"/>
        <v>249.99</v>
      </c>
      <c r="N42" s="67">
        <f t="shared" si="5"/>
        <v>0</v>
      </c>
      <c r="O42" s="66">
        <v>0</v>
      </c>
      <c r="P42" s="82">
        <v>500</v>
      </c>
      <c r="Q42" s="83">
        <f t="shared" si="6"/>
        <v>0</v>
      </c>
      <c r="R42" s="55"/>
      <c r="S42" s="58"/>
    </row>
    <row r="43" spans="1:19" hidden="1" x14ac:dyDescent="0.25">
      <c r="A43" s="54"/>
      <c r="B43" s="14"/>
      <c r="C43" s="55"/>
      <c r="D43" s="113" t="s">
        <v>208</v>
      </c>
      <c r="E43" s="80" t="s">
        <v>293</v>
      </c>
      <c r="F43" s="33">
        <v>0</v>
      </c>
      <c r="G43" s="65">
        <v>2041.66</v>
      </c>
      <c r="H43" s="65">
        <v>0</v>
      </c>
      <c r="I43" s="65">
        <v>2041.66</v>
      </c>
      <c r="J43" s="81">
        <v>0</v>
      </c>
      <c r="K43" s="81">
        <v>2041.66</v>
      </c>
      <c r="L43" s="66">
        <f t="shared" si="8"/>
        <v>0</v>
      </c>
      <c r="M43" s="33">
        <f t="shared" si="9"/>
        <v>6124.9800000000005</v>
      </c>
      <c r="N43" s="67">
        <f t="shared" si="5"/>
        <v>0</v>
      </c>
      <c r="O43" s="66">
        <v>0</v>
      </c>
      <c r="P43" s="82">
        <f>31125+M43</f>
        <v>37249.980000000003</v>
      </c>
      <c r="Q43" s="83">
        <f t="shared" si="6"/>
        <v>0</v>
      </c>
      <c r="R43" s="55"/>
      <c r="S43" s="58"/>
    </row>
    <row r="44" spans="1:19" hidden="1" x14ac:dyDescent="0.25">
      <c r="A44" s="54"/>
      <c r="B44" s="14"/>
      <c r="C44" s="55"/>
      <c r="D44" s="113" t="s">
        <v>41</v>
      </c>
      <c r="E44" s="80" t="s">
        <v>294</v>
      </c>
      <c r="F44" s="33">
        <v>25568.26</v>
      </c>
      <c r="G44" s="65">
        <f>230000/12</f>
        <v>19166.666666666668</v>
      </c>
      <c r="H44" s="65">
        <v>67762.69</v>
      </c>
      <c r="I44" s="65">
        <f>230000/12</f>
        <v>19166.666666666668</v>
      </c>
      <c r="J44" s="65">
        <v>0</v>
      </c>
      <c r="K44" s="65">
        <f>230000/12</f>
        <v>19166.666666666668</v>
      </c>
      <c r="L44" s="66">
        <f t="shared" si="8"/>
        <v>93330.95</v>
      </c>
      <c r="M44" s="33">
        <f t="shared" si="9"/>
        <v>57500</v>
      </c>
      <c r="N44" s="67">
        <f t="shared" si="5"/>
        <v>162.31469565217392</v>
      </c>
      <c r="O44" s="66">
        <f>78492.56+L44</f>
        <v>171823.51</v>
      </c>
      <c r="P44" s="82">
        <f>57500+M44</f>
        <v>115000</v>
      </c>
      <c r="Q44" s="83">
        <f t="shared" si="6"/>
        <v>149.41174782608698</v>
      </c>
      <c r="R44" s="55"/>
      <c r="S44" s="58"/>
    </row>
    <row r="45" spans="1:19" hidden="1" x14ac:dyDescent="0.25">
      <c r="A45" s="54"/>
      <c r="B45" s="14"/>
      <c r="C45" s="55"/>
      <c r="D45" s="113" t="s">
        <v>209</v>
      </c>
      <c r="E45" s="80" t="s">
        <v>295</v>
      </c>
      <c r="F45" s="33">
        <v>0</v>
      </c>
      <c r="G45" s="65">
        <f>195000/12</f>
        <v>16250</v>
      </c>
      <c r="H45" s="33">
        <v>0</v>
      </c>
      <c r="I45" s="65">
        <f>195000/12</f>
        <v>16250</v>
      </c>
      <c r="J45" s="33">
        <v>0</v>
      </c>
      <c r="K45" s="65">
        <f>195000/12</f>
        <v>16250</v>
      </c>
      <c r="L45" s="66">
        <f t="shared" si="8"/>
        <v>0</v>
      </c>
      <c r="M45" s="33">
        <f t="shared" si="9"/>
        <v>48750</v>
      </c>
      <c r="N45" s="67">
        <f t="shared" si="5"/>
        <v>0</v>
      </c>
      <c r="O45" s="66">
        <f>0+L45</f>
        <v>0</v>
      </c>
      <c r="P45" s="82">
        <f>48750+M45</f>
        <v>97500</v>
      </c>
      <c r="Q45" s="83">
        <f t="shared" si="6"/>
        <v>0</v>
      </c>
      <c r="R45" s="55"/>
      <c r="S45" s="58"/>
    </row>
    <row r="46" spans="1:19" hidden="1" x14ac:dyDescent="0.25">
      <c r="A46" s="54"/>
      <c r="B46" s="14"/>
      <c r="C46" s="55"/>
      <c r="D46" s="113" t="s">
        <v>42</v>
      </c>
      <c r="E46" s="80" t="s">
        <v>296</v>
      </c>
      <c r="F46" s="33">
        <v>34665.33</v>
      </c>
      <c r="G46" s="65">
        <f>71050/12</f>
        <v>5920.833333333333</v>
      </c>
      <c r="H46" s="33">
        <v>0</v>
      </c>
      <c r="I46" s="65">
        <v>5920.833333333333</v>
      </c>
      <c r="J46" s="33">
        <v>0</v>
      </c>
      <c r="K46" s="81">
        <v>5920.833333333333</v>
      </c>
      <c r="L46" s="66">
        <f t="shared" si="8"/>
        <v>34665.33</v>
      </c>
      <c r="M46" s="33">
        <f t="shared" si="9"/>
        <v>17762.5</v>
      </c>
      <c r="N46" s="67">
        <f t="shared" si="5"/>
        <v>195.16019704433498</v>
      </c>
      <c r="O46" s="66">
        <f>0+L46</f>
        <v>34665.33</v>
      </c>
      <c r="P46" s="82">
        <f>17762.5+M46</f>
        <v>35525</v>
      </c>
      <c r="Q46" s="83">
        <f t="shared" si="6"/>
        <v>97.580098522167489</v>
      </c>
      <c r="R46" s="55"/>
      <c r="S46" s="58"/>
    </row>
    <row r="47" spans="1:19" hidden="1" x14ac:dyDescent="0.25">
      <c r="A47" s="54"/>
      <c r="B47" s="14"/>
      <c r="C47" s="55"/>
      <c r="D47" s="113" t="s">
        <v>43</v>
      </c>
      <c r="E47" s="80" t="s">
        <v>297</v>
      </c>
      <c r="F47" s="33">
        <v>0</v>
      </c>
      <c r="G47" s="65">
        <f>2000/12</f>
        <v>166.66666666666666</v>
      </c>
      <c r="H47" s="33">
        <v>0</v>
      </c>
      <c r="I47" s="65">
        <f>2000/12</f>
        <v>166.66666666666666</v>
      </c>
      <c r="J47" s="33">
        <v>0</v>
      </c>
      <c r="K47" s="65">
        <f>2000/12</f>
        <v>166.66666666666666</v>
      </c>
      <c r="L47" s="66">
        <f t="shared" si="8"/>
        <v>0</v>
      </c>
      <c r="M47" s="33">
        <f t="shared" si="9"/>
        <v>500</v>
      </c>
      <c r="N47" s="67">
        <f t="shared" si="5"/>
        <v>0</v>
      </c>
      <c r="O47" s="66">
        <f>0+L47</f>
        <v>0</v>
      </c>
      <c r="P47" s="82">
        <f>500+M47</f>
        <v>1000</v>
      </c>
      <c r="Q47" s="83">
        <f t="shared" si="6"/>
        <v>0</v>
      </c>
      <c r="R47" s="55"/>
      <c r="S47" s="58"/>
    </row>
    <row r="48" spans="1:19" hidden="1" x14ac:dyDescent="0.25">
      <c r="A48" s="54"/>
      <c r="B48" s="14"/>
      <c r="C48" s="55"/>
      <c r="D48" s="113" t="s">
        <v>210</v>
      </c>
      <c r="E48" s="80" t="s">
        <v>298</v>
      </c>
      <c r="F48" s="33">
        <v>0</v>
      </c>
      <c r="G48" s="65">
        <f>46975/12</f>
        <v>3914.5833333333335</v>
      </c>
      <c r="H48" s="33">
        <v>1914</v>
      </c>
      <c r="I48" s="65">
        <f>46975/12</f>
        <v>3914.5833333333335</v>
      </c>
      <c r="J48" s="33">
        <v>0</v>
      </c>
      <c r="K48" s="65">
        <f>46975/12</f>
        <v>3914.5833333333335</v>
      </c>
      <c r="L48" s="66">
        <f t="shared" si="8"/>
        <v>1914</v>
      </c>
      <c r="M48" s="33">
        <f t="shared" si="9"/>
        <v>11743.75</v>
      </c>
      <c r="N48" s="67">
        <f t="shared" si="5"/>
        <v>16.298030867482705</v>
      </c>
      <c r="O48" s="66">
        <f>3569.99+L48</f>
        <v>5483.99</v>
      </c>
      <c r="P48" s="82">
        <f>11743.75+M48</f>
        <v>23487.5</v>
      </c>
      <c r="Q48" s="83">
        <f t="shared" si="6"/>
        <v>23.348547099521021</v>
      </c>
      <c r="R48" s="55"/>
      <c r="S48" s="58"/>
    </row>
    <row r="49" spans="1:19" hidden="1" x14ac:dyDescent="0.25">
      <c r="A49" s="54"/>
      <c r="B49" s="14"/>
      <c r="C49" s="55"/>
      <c r="D49" s="113" t="s">
        <v>211</v>
      </c>
      <c r="E49" s="80" t="s">
        <v>299</v>
      </c>
      <c r="F49" s="33">
        <v>0</v>
      </c>
      <c r="G49" s="65">
        <f>27910/12</f>
        <v>2325.8333333333335</v>
      </c>
      <c r="H49" s="33">
        <v>0</v>
      </c>
      <c r="I49" s="65">
        <v>2325.8333333333335</v>
      </c>
      <c r="J49" s="33">
        <v>0</v>
      </c>
      <c r="K49" s="81">
        <v>2325.8333333333335</v>
      </c>
      <c r="L49" s="66">
        <f t="shared" si="8"/>
        <v>0</v>
      </c>
      <c r="M49" s="33">
        <f t="shared" si="9"/>
        <v>6977.5</v>
      </c>
      <c r="N49" s="67">
        <f t="shared" si="5"/>
        <v>0</v>
      </c>
      <c r="O49" s="66">
        <v>0</v>
      </c>
      <c r="P49" s="82">
        <f>6977.5+M49</f>
        <v>13955</v>
      </c>
      <c r="Q49" s="83">
        <f t="shared" si="6"/>
        <v>0</v>
      </c>
      <c r="R49" s="55"/>
      <c r="S49" s="58"/>
    </row>
    <row r="50" spans="1:19" hidden="1" x14ac:dyDescent="0.25">
      <c r="A50" s="54"/>
      <c r="B50" s="14"/>
      <c r="C50" s="55"/>
      <c r="D50" s="113" t="s">
        <v>44</v>
      </c>
      <c r="E50" s="80" t="s">
        <v>300</v>
      </c>
      <c r="F50" s="33">
        <v>0</v>
      </c>
      <c r="G50" s="65">
        <f>39600/12</f>
        <v>3300</v>
      </c>
      <c r="H50" s="33">
        <v>0</v>
      </c>
      <c r="I50" s="65">
        <v>3300</v>
      </c>
      <c r="J50" s="33">
        <v>0</v>
      </c>
      <c r="K50" s="81">
        <v>3300</v>
      </c>
      <c r="L50" s="66">
        <f t="shared" si="8"/>
        <v>0</v>
      </c>
      <c r="M50" s="33">
        <f t="shared" si="9"/>
        <v>9900</v>
      </c>
      <c r="N50" s="67">
        <f t="shared" si="5"/>
        <v>0</v>
      </c>
      <c r="O50" s="66">
        <v>0</v>
      </c>
      <c r="P50" s="82">
        <f>9900+M50</f>
        <v>19800</v>
      </c>
      <c r="Q50" s="83">
        <f t="shared" si="6"/>
        <v>0</v>
      </c>
      <c r="R50" s="55"/>
      <c r="S50" s="58"/>
    </row>
    <row r="51" spans="1:19" hidden="1" x14ac:dyDescent="0.25">
      <c r="A51" s="54"/>
      <c r="B51" s="14"/>
      <c r="C51" s="55"/>
      <c r="D51" s="113" t="s">
        <v>45</v>
      </c>
      <c r="E51" s="80" t="s">
        <v>301</v>
      </c>
      <c r="F51" s="33">
        <v>0</v>
      </c>
      <c r="G51" s="65">
        <f>2000/12</f>
        <v>166.66666666666666</v>
      </c>
      <c r="H51" s="33">
        <v>0</v>
      </c>
      <c r="I51" s="65">
        <f>2000/12</f>
        <v>166.66666666666666</v>
      </c>
      <c r="J51" s="33">
        <v>0</v>
      </c>
      <c r="K51" s="65">
        <f>2000/12</f>
        <v>166.66666666666666</v>
      </c>
      <c r="L51" s="66">
        <f t="shared" si="8"/>
        <v>0</v>
      </c>
      <c r="M51" s="33">
        <f t="shared" si="9"/>
        <v>500</v>
      </c>
      <c r="N51" s="67">
        <f t="shared" si="5"/>
        <v>0</v>
      </c>
      <c r="O51" s="66">
        <v>0</v>
      </c>
      <c r="P51" s="82">
        <f>500+M51</f>
        <v>1000</v>
      </c>
      <c r="Q51" s="83">
        <f t="shared" si="6"/>
        <v>0</v>
      </c>
      <c r="R51" s="55"/>
      <c r="S51" s="58"/>
    </row>
    <row r="52" spans="1:19" hidden="1" x14ac:dyDescent="0.25">
      <c r="A52" s="54"/>
      <c r="B52" s="14"/>
      <c r="C52" s="55"/>
      <c r="D52" s="113" t="s">
        <v>46</v>
      </c>
      <c r="E52" s="80" t="s">
        <v>302</v>
      </c>
      <c r="F52" s="33">
        <v>0</v>
      </c>
      <c r="G52" s="65">
        <f>2000/12</f>
        <v>166.66666666666666</v>
      </c>
      <c r="H52" s="33">
        <v>0</v>
      </c>
      <c r="I52" s="65">
        <f>2000/12</f>
        <v>166.66666666666666</v>
      </c>
      <c r="J52" s="33">
        <v>0</v>
      </c>
      <c r="K52" s="65">
        <f>2000/12</f>
        <v>166.66666666666666</v>
      </c>
      <c r="L52" s="66">
        <f t="shared" si="8"/>
        <v>0</v>
      </c>
      <c r="M52" s="33">
        <f t="shared" si="9"/>
        <v>500</v>
      </c>
      <c r="N52" s="67">
        <f t="shared" si="5"/>
        <v>0</v>
      </c>
      <c r="O52" s="66">
        <v>0</v>
      </c>
      <c r="P52" s="82">
        <f>500+M52</f>
        <v>1000</v>
      </c>
      <c r="Q52" s="83">
        <f t="shared" si="6"/>
        <v>0</v>
      </c>
      <c r="R52" s="55"/>
      <c r="S52" s="58"/>
    </row>
    <row r="53" spans="1:19" hidden="1" x14ac:dyDescent="0.25">
      <c r="A53" s="54"/>
      <c r="B53" s="14"/>
      <c r="C53" s="55"/>
      <c r="D53" s="113" t="s">
        <v>47</v>
      </c>
      <c r="E53" s="80" t="s">
        <v>303</v>
      </c>
      <c r="F53" s="33">
        <v>0</v>
      </c>
      <c r="G53" s="65">
        <f>+I53</f>
        <v>1896.6666666666667</v>
      </c>
      <c r="H53" s="33">
        <v>0</v>
      </c>
      <c r="I53" s="65">
        <v>1896.6666666666667</v>
      </c>
      <c r="J53" s="33">
        <v>0</v>
      </c>
      <c r="K53" s="81">
        <v>1896.6666666666667</v>
      </c>
      <c r="L53" s="66">
        <f t="shared" si="8"/>
        <v>0</v>
      </c>
      <c r="M53" s="33">
        <f t="shared" si="9"/>
        <v>5690</v>
      </c>
      <c r="N53" s="67">
        <f t="shared" si="5"/>
        <v>0</v>
      </c>
      <c r="O53" s="66">
        <f>1169.28+L53</f>
        <v>1169.28</v>
      </c>
      <c r="P53" s="82">
        <f>5690+M53</f>
        <v>11380</v>
      </c>
      <c r="Q53" s="83">
        <f t="shared" si="6"/>
        <v>10.274868189806678</v>
      </c>
      <c r="R53" s="55"/>
      <c r="S53" s="58"/>
    </row>
    <row r="54" spans="1:19" hidden="1" x14ac:dyDescent="0.25">
      <c r="A54" s="54"/>
      <c r="B54" s="14"/>
      <c r="C54" s="55"/>
      <c r="D54" s="113" t="s">
        <v>212</v>
      </c>
      <c r="E54" s="80" t="s">
        <v>304</v>
      </c>
      <c r="F54" s="33">
        <v>0</v>
      </c>
      <c r="G54" s="65">
        <f>1970/12</f>
        <v>164.16666666666666</v>
      </c>
      <c r="H54" s="33">
        <v>0</v>
      </c>
      <c r="I54" s="65">
        <f>1970/12</f>
        <v>164.16666666666666</v>
      </c>
      <c r="J54" s="33">
        <v>0</v>
      </c>
      <c r="K54" s="65">
        <f>1970/12</f>
        <v>164.16666666666666</v>
      </c>
      <c r="L54" s="66">
        <f t="shared" si="8"/>
        <v>0</v>
      </c>
      <c r="M54" s="33">
        <f t="shared" si="9"/>
        <v>492.5</v>
      </c>
      <c r="N54" s="67">
        <f t="shared" si="5"/>
        <v>0</v>
      </c>
      <c r="O54" s="66"/>
      <c r="P54" s="82">
        <f>492.5+M54</f>
        <v>985</v>
      </c>
      <c r="Q54" s="83">
        <f t="shared" si="6"/>
        <v>0</v>
      </c>
      <c r="R54" s="55"/>
      <c r="S54" s="58"/>
    </row>
    <row r="55" spans="1:19" hidden="1" x14ac:dyDescent="0.25">
      <c r="A55" s="54"/>
      <c r="B55" s="14"/>
      <c r="C55" s="55"/>
      <c r="D55" s="113" t="s">
        <v>213</v>
      </c>
      <c r="E55" s="80" t="s">
        <v>305</v>
      </c>
      <c r="F55" s="33">
        <v>0</v>
      </c>
      <c r="G55" s="65">
        <f>10000/12</f>
        <v>833.33333333333337</v>
      </c>
      <c r="H55" s="33">
        <v>0</v>
      </c>
      <c r="I55" s="65">
        <f>10000/12</f>
        <v>833.33333333333337</v>
      </c>
      <c r="J55" s="33">
        <v>0</v>
      </c>
      <c r="K55" s="65">
        <f>10000/12</f>
        <v>833.33333333333337</v>
      </c>
      <c r="L55" s="66">
        <f t="shared" si="8"/>
        <v>0</v>
      </c>
      <c r="M55" s="33">
        <f t="shared" si="9"/>
        <v>2500</v>
      </c>
      <c r="N55" s="67">
        <f t="shared" si="5"/>
        <v>0</v>
      </c>
      <c r="O55" s="66">
        <v>0</v>
      </c>
      <c r="P55" s="82">
        <f>2500+M55</f>
        <v>5000</v>
      </c>
      <c r="Q55" s="83">
        <f t="shared" si="6"/>
        <v>0</v>
      </c>
      <c r="R55" s="55"/>
      <c r="S55" s="58"/>
    </row>
    <row r="56" spans="1:19" hidden="1" x14ac:dyDescent="0.25">
      <c r="A56" s="54"/>
      <c r="B56" s="14"/>
      <c r="C56" s="55"/>
      <c r="D56" s="113" t="s">
        <v>214</v>
      </c>
      <c r="E56" s="80" t="s">
        <v>306</v>
      </c>
      <c r="F56" s="33">
        <v>0</v>
      </c>
      <c r="G56" s="65">
        <f>10000/12</f>
        <v>833.33333333333337</v>
      </c>
      <c r="H56" s="33">
        <v>0</v>
      </c>
      <c r="I56" s="65">
        <f>10000/12</f>
        <v>833.33333333333337</v>
      </c>
      <c r="J56" s="33">
        <v>0</v>
      </c>
      <c r="K56" s="65">
        <f>10000/12</f>
        <v>833.33333333333337</v>
      </c>
      <c r="L56" s="66">
        <f t="shared" si="8"/>
        <v>0</v>
      </c>
      <c r="M56" s="33">
        <f t="shared" si="9"/>
        <v>2500</v>
      </c>
      <c r="N56" s="67">
        <f t="shared" si="5"/>
        <v>0</v>
      </c>
      <c r="O56" s="66">
        <v>0</v>
      </c>
      <c r="P56" s="82">
        <f>2500+M56</f>
        <v>5000</v>
      </c>
      <c r="Q56" s="83">
        <f t="shared" si="6"/>
        <v>0</v>
      </c>
      <c r="R56" s="55"/>
      <c r="S56" s="58"/>
    </row>
    <row r="57" spans="1:19" hidden="1" x14ac:dyDescent="0.25">
      <c r="A57" s="54"/>
      <c r="B57" s="14"/>
      <c r="C57" s="55"/>
      <c r="D57" s="113" t="s">
        <v>215</v>
      </c>
      <c r="E57" s="80" t="s">
        <v>307</v>
      </c>
      <c r="F57" s="33">
        <v>0</v>
      </c>
      <c r="G57" s="65">
        <f>400000/12</f>
        <v>33333.333333333336</v>
      </c>
      <c r="H57" s="33">
        <v>393449.05</v>
      </c>
      <c r="I57" s="65">
        <v>33333.333333333336</v>
      </c>
      <c r="J57" s="33">
        <v>0</v>
      </c>
      <c r="K57" s="81">
        <v>33333.333333333336</v>
      </c>
      <c r="L57" s="66">
        <f t="shared" si="8"/>
        <v>393449.05</v>
      </c>
      <c r="M57" s="33">
        <f t="shared" si="9"/>
        <v>100000</v>
      </c>
      <c r="N57" s="67">
        <f t="shared" si="5"/>
        <v>393.44905</v>
      </c>
      <c r="O57" s="66">
        <f>0+L57</f>
        <v>393449.05</v>
      </c>
      <c r="P57" s="82">
        <f>100000+M57</f>
        <v>200000</v>
      </c>
      <c r="Q57" s="83">
        <f t="shared" si="6"/>
        <v>196.724525</v>
      </c>
      <c r="R57" s="55"/>
      <c r="S57" s="58"/>
    </row>
    <row r="58" spans="1:19" hidden="1" x14ac:dyDescent="0.25">
      <c r="A58" s="54"/>
      <c r="B58" s="14"/>
      <c r="C58" s="55"/>
      <c r="D58" s="113" t="s">
        <v>48</v>
      </c>
      <c r="E58" s="80" t="s">
        <v>308</v>
      </c>
      <c r="F58" s="33">
        <v>0</v>
      </c>
      <c r="G58" s="65">
        <f>1000000/12</f>
        <v>83333.333333333328</v>
      </c>
      <c r="H58" s="33">
        <v>0</v>
      </c>
      <c r="I58" s="65">
        <f>1000000/12</f>
        <v>83333.333333333328</v>
      </c>
      <c r="J58" s="33">
        <v>0</v>
      </c>
      <c r="K58" s="65">
        <f>1000000/12</f>
        <v>83333.333333333328</v>
      </c>
      <c r="L58" s="66">
        <f t="shared" si="8"/>
        <v>0</v>
      </c>
      <c r="M58" s="33">
        <f t="shared" si="9"/>
        <v>250000</v>
      </c>
      <c r="N58" s="67">
        <f t="shared" si="5"/>
        <v>0</v>
      </c>
      <c r="O58" s="66">
        <v>0</v>
      </c>
      <c r="P58" s="82">
        <f>250000+M58</f>
        <v>500000</v>
      </c>
      <c r="Q58" s="83">
        <f t="shared" si="6"/>
        <v>0</v>
      </c>
      <c r="R58" s="55"/>
      <c r="S58" s="58"/>
    </row>
    <row r="59" spans="1:19" hidden="1" x14ac:dyDescent="0.25">
      <c r="A59" s="54"/>
      <c r="B59" s="14"/>
      <c r="C59" s="55"/>
      <c r="D59" s="113" t="s">
        <v>216</v>
      </c>
      <c r="E59" s="80" t="s">
        <v>309</v>
      </c>
      <c r="F59" s="33">
        <v>70760</v>
      </c>
      <c r="G59" s="65">
        <f>+I59</f>
        <v>8333.3333333333339</v>
      </c>
      <c r="H59" s="33">
        <v>0</v>
      </c>
      <c r="I59" s="65">
        <v>8333.3333333333339</v>
      </c>
      <c r="J59" s="33">
        <v>0</v>
      </c>
      <c r="K59" s="81">
        <v>8333.3333333333339</v>
      </c>
      <c r="L59" s="66">
        <f t="shared" si="8"/>
        <v>70760</v>
      </c>
      <c r="M59" s="33">
        <f t="shared" si="9"/>
        <v>25000</v>
      </c>
      <c r="N59" s="67">
        <f t="shared" ref="N59:N90" si="10">+L59/M59*100</f>
        <v>283.04000000000002</v>
      </c>
      <c r="O59" s="66">
        <f>0+L59</f>
        <v>70760</v>
      </c>
      <c r="P59" s="82">
        <f>25000+M59</f>
        <v>50000</v>
      </c>
      <c r="Q59" s="83">
        <f t="shared" ref="Q59:Q90" si="11">O59/P59*100</f>
        <v>141.52000000000001</v>
      </c>
      <c r="R59" s="55"/>
      <c r="S59" s="58"/>
    </row>
    <row r="60" spans="1:19" hidden="1" x14ac:dyDescent="0.25">
      <c r="A60" s="54"/>
      <c r="B60" s="14"/>
      <c r="C60" s="55"/>
      <c r="D60" s="113" t="s">
        <v>49</v>
      </c>
      <c r="E60" s="80" t="s">
        <v>310</v>
      </c>
      <c r="F60" s="33">
        <v>921851.3</v>
      </c>
      <c r="G60" s="65">
        <f>15161300/12</f>
        <v>1263441.6666666667</v>
      </c>
      <c r="H60" s="33">
        <v>960240.48</v>
      </c>
      <c r="I60" s="65">
        <f>15161300/12</f>
        <v>1263441.6666666667</v>
      </c>
      <c r="J60" s="33">
        <v>0</v>
      </c>
      <c r="K60" s="65">
        <f>15161300/12</f>
        <v>1263441.6666666667</v>
      </c>
      <c r="L60" s="66">
        <f t="shared" si="8"/>
        <v>1882091.78</v>
      </c>
      <c r="M60" s="33">
        <f t="shared" si="9"/>
        <v>3790325</v>
      </c>
      <c r="N60" s="67">
        <f t="shared" si="10"/>
        <v>49.65515569245381</v>
      </c>
      <c r="O60" s="66">
        <f>2815207.74+L60</f>
        <v>4697299.5200000005</v>
      </c>
      <c r="P60" s="82">
        <f>3790325+M60</f>
        <v>7580650</v>
      </c>
      <c r="Q60" s="83">
        <f t="shared" si="11"/>
        <v>61.964337095103986</v>
      </c>
      <c r="R60" s="55"/>
      <c r="S60" s="58"/>
    </row>
    <row r="61" spans="1:19" hidden="1" x14ac:dyDescent="0.25">
      <c r="A61" s="54"/>
      <c r="B61" s="14"/>
      <c r="C61" s="55"/>
      <c r="D61" s="113" t="s">
        <v>217</v>
      </c>
      <c r="E61" s="80" t="s">
        <v>311</v>
      </c>
      <c r="F61" s="33">
        <v>0</v>
      </c>
      <c r="G61" s="65">
        <f>3605000/12</f>
        <v>300416.66666666669</v>
      </c>
      <c r="H61" s="33">
        <v>0</v>
      </c>
      <c r="I61" s="65">
        <v>300416.66666666669</v>
      </c>
      <c r="J61" s="33">
        <v>0</v>
      </c>
      <c r="K61" s="81">
        <v>300416.66666666669</v>
      </c>
      <c r="L61" s="66">
        <f t="shared" si="8"/>
        <v>0</v>
      </c>
      <c r="M61" s="33">
        <f t="shared" si="9"/>
        <v>901250</v>
      </c>
      <c r="N61" s="67">
        <f t="shared" si="10"/>
        <v>0</v>
      </c>
      <c r="O61" s="66">
        <v>0</v>
      </c>
      <c r="P61" s="82">
        <f>901250+M61</f>
        <v>1802500</v>
      </c>
      <c r="Q61" s="83">
        <f t="shared" si="11"/>
        <v>0</v>
      </c>
      <c r="R61" s="55"/>
      <c r="S61" s="58"/>
    </row>
    <row r="62" spans="1:19" hidden="1" x14ac:dyDescent="0.25">
      <c r="A62" s="54"/>
      <c r="B62" s="14"/>
      <c r="C62" s="55"/>
      <c r="D62" s="113" t="s">
        <v>218</v>
      </c>
      <c r="E62" s="80" t="s">
        <v>312</v>
      </c>
      <c r="F62" s="33">
        <v>0</v>
      </c>
      <c r="G62" s="65">
        <f>+I62</f>
        <v>250000</v>
      </c>
      <c r="H62" s="33">
        <v>0</v>
      </c>
      <c r="I62" s="65">
        <v>250000</v>
      </c>
      <c r="J62" s="33">
        <v>0</v>
      </c>
      <c r="K62" s="81">
        <f>3000000/12</f>
        <v>250000</v>
      </c>
      <c r="L62" s="66">
        <f t="shared" si="8"/>
        <v>0</v>
      </c>
      <c r="M62" s="33">
        <f t="shared" si="9"/>
        <v>750000</v>
      </c>
      <c r="N62" s="67">
        <f t="shared" si="10"/>
        <v>0</v>
      </c>
      <c r="O62" s="66">
        <v>0</v>
      </c>
      <c r="P62" s="82">
        <f>750000+M62</f>
        <v>1500000</v>
      </c>
      <c r="Q62" s="83">
        <f t="shared" si="11"/>
        <v>0</v>
      </c>
      <c r="R62" s="55"/>
      <c r="S62" s="58"/>
    </row>
    <row r="63" spans="1:19" hidden="1" x14ac:dyDescent="0.25">
      <c r="A63" s="54"/>
      <c r="B63" s="14"/>
      <c r="C63" s="55"/>
      <c r="D63" s="113" t="s">
        <v>219</v>
      </c>
      <c r="E63" s="80" t="s">
        <v>313</v>
      </c>
      <c r="F63" s="33">
        <v>0</v>
      </c>
      <c r="G63" s="65">
        <f>7210000/12</f>
        <v>600833.33333333337</v>
      </c>
      <c r="H63" s="33">
        <v>0</v>
      </c>
      <c r="I63" s="65">
        <v>600833.33333333337</v>
      </c>
      <c r="J63" s="33">
        <v>0</v>
      </c>
      <c r="K63" s="81">
        <v>600833.33333333337</v>
      </c>
      <c r="L63" s="66">
        <f t="shared" si="8"/>
        <v>0</v>
      </c>
      <c r="M63" s="33">
        <f t="shared" si="9"/>
        <v>1802500</v>
      </c>
      <c r="N63" s="67">
        <f t="shared" si="10"/>
        <v>0</v>
      </c>
      <c r="O63" s="66">
        <v>0</v>
      </c>
      <c r="P63" s="82">
        <f>1802500+M63</f>
        <v>3605000</v>
      </c>
      <c r="Q63" s="83">
        <f t="shared" si="11"/>
        <v>0</v>
      </c>
      <c r="R63" s="55"/>
      <c r="S63" s="58"/>
    </row>
    <row r="64" spans="1:19" hidden="1" x14ac:dyDescent="0.25">
      <c r="A64" s="54"/>
      <c r="B64" s="14"/>
      <c r="C64" s="55"/>
      <c r="D64" s="113" t="s">
        <v>220</v>
      </c>
      <c r="E64" s="80" t="s">
        <v>314</v>
      </c>
      <c r="F64" s="33">
        <v>0</v>
      </c>
      <c r="G64" s="65">
        <f>20000000/12</f>
        <v>1666666.6666666667</v>
      </c>
      <c r="H64" s="33">
        <v>0</v>
      </c>
      <c r="I64" s="65">
        <v>1666666.6666666667</v>
      </c>
      <c r="J64" s="33">
        <v>0</v>
      </c>
      <c r="K64" s="81">
        <v>1666666.6666666667</v>
      </c>
      <c r="L64" s="66">
        <f t="shared" si="8"/>
        <v>0</v>
      </c>
      <c r="M64" s="33">
        <f t="shared" si="9"/>
        <v>5000000</v>
      </c>
      <c r="N64" s="67">
        <f t="shared" si="10"/>
        <v>0</v>
      </c>
      <c r="O64" s="66">
        <v>0</v>
      </c>
      <c r="P64" s="82">
        <f>5000000+M64</f>
        <v>10000000</v>
      </c>
      <c r="Q64" s="83">
        <f t="shared" si="11"/>
        <v>0</v>
      </c>
      <c r="R64" s="55"/>
      <c r="S64" s="58"/>
    </row>
    <row r="65" spans="1:19" hidden="1" x14ac:dyDescent="0.25">
      <c r="A65" s="54"/>
      <c r="B65" s="14"/>
      <c r="C65" s="55"/>
      <c r="D65" s="113" t="s">
        <v>51</v>
      </c>
      <c r="E65" s="80" t="s">
        <v>315</v>
      </c>
      <c r="F65" s="33">
        <v>0</v>
      </c>
      <c r="G65" s="65">
        <f>210000/12</f>
        <v>17500</v>
      </c>
      <c r="H65" s="33">
        <v>186966.55</v>
      </c>
      <c r="I65" s="65">
        <v>17500</v>
      </c>
      <c r="J65" s="33">
        <v>0</v>
      </c>
      <c r="K65" s="81">
        <v>17500</v>
      </c>
      <c r="L65" s="66">
        <f t="shared" si="8"/>
        <v>186966.55</v>
      </c>
      <c r="M65" s="33">
        <f t="shared" si="9"/>
        <v>52500</v>
      </c>
      <c r="N65" s="67">
        <f t="shared" si="10"/>
        <v>356.12676190476191</v>
      </c>
      <c r="O65" s="66">
        <f>0+L65</f>
        <v>186966.55</v>
      </c>
      <c r="P65" s="82">
        <f>52500+M65</f>
        <v>105000</v>
      </c>
      <c r="Q65" s="83">
        <f t="shared" si="11"/>
        <v>178.06338095238095</v>
      </c>
      <c r="R65" s="55"/>
      <c r="S65" s="58"/>
    </row>
    <row r="66" spans="1:19" hidden="1" x14ac:dyDescent="0.25">
      <c r="A66" s="54"/>
      <c r="B66" s="14"/>
      <c r="C66" s="55"/>
      <c r="D66" s="113" t="s">
        <v>52</v>
      </c>
      <c r="E66" s="80" t="s">
        <v>316</v>
      </c>
      <c r="F66" s="33">
        <v>0</v>
      </c>
      <c r="G66" s="65">
        <f>200000/12</f>
        <v>16666.666666666668</v>
      </c>
      <c r="H66" s="33">
        <v>58539.54</v>
      </c>
      <c r="I66" s="65">
        <v>16666.666666666668</v>
      </c>
      <c r="J66" s="33">
        <v>0</v>
      </c>
      <c r="K66" s="81">
        <v>16666.666666666668</v>
      </c>
      <c r="L66" s="66">
        <f t="shared" si="8"/>
        <v>58539.54</v>
      </c>
      <c r="M66" s="33">
        <f t="shared" si="9"/>
        <v>50000</v>
      </c>
      <c r="N66" s="67">
        <f t="shared" si="10"/>
        <v>117.07908</v>
      </c>
      <c r="O66" s="66">
        <f>140756.01+L66</f>
        <v>199295.55000000002</v>
      </c>
      <c r="P66" s="82">
        <f>50000+M66</f>
        <v>100000</v>
      </c>
      <c r="Q66" s="83">
        <f t="shared" si="11"/>
        <v>199.29555000000002</v>
      </c>
      <c r="R66" s="55"/>
      <c r="S66" s="58"/>
    </row>
    <row r="67" spans="1:19" hidden="1" x14ac:dyDescent="0.25">
      <c r="A67" s="54"/>
      <c r="B67" s="14"/>
      <c r="C67" s="55"/>
      <c r="D67" s="113" t="s">
        <v>53</v>
      </c>
      <c r="E67" s="80" t="s">
        <v>317</v>
      </c>
      <c r="F67" s="33">
        <v>0</v>
      </c>
      <c r="G67" s="65">
        <f>2843274/12</f>
        <v>236939.5</v>
      </c>
      <c r="H67" s="33">
        <v>0</v>
      </c>
      <c r="I67" s="65">
        <v>236939.5</v>
      </c>
      <c r="J67" s="33">
        <v>0</v>
      </c>
      <c r="K67" s="81">
        <v>236939.5</v>
      </c>
      <c r="L67" s="66">
        <f t="shared" si="8"/>
        <v>0</v>
      </c>
      <c r="M67" s="33">
        <f t="shared" si="9"/>
        <v>710818.5</v>
      </c>
      <c r="N67" s="67">
        <f t="shared" si="10"/>
        <v>0</v>
      </c>
      <c r="O67" s="66">
        <v>0</v>
      </c>
      <c r="P67" s="82">
        <f>710818.5+M67</f>
        <v>1421637</v>
      </c>
      <c r="Q67" s="83">
        <f t="shared" si="11"/>
        <v>0</v>
      </c>
      <c r="R67" s="55"/>
      <c r="S67" s="58"/>
    </row>
    <row r="68" spans="1:19" hidden="1" x14ac:dyDescent="0.25">
      <c r="A68" s="54"/>
      <c r="B68" s="14"/>
      <c r="C68" s="55"/>
      <c r="D68" s="113" t="s">
        <v>379</v>
      </c>
      <c r="E68" s="80" t="s">
        <v>380</v>
      </c>
      <c r="F68" s="33">
        <v>0</v>
      </c>
      <c r="G68" s="65">
        <f>209218.65/12</f>
        <v>17434.887500000001</v>
      </c>
      <c r="H68" s="33">
        <v>0</v>
      </c>
      <c r="I68" s="65">
        <f>209218.65/12</f>
        <v>17434.887500000001</v>
      </c>
      <c r="J68" s="33">
        <v>0</v>
      </c>
      <c r="K68" s="65">
        <f>209218.65/12</f>
        <v>17434.887500000001</v>
      </c>
      <c r="L68" s="66">
        <f t="shared" si="8"/>
        <v>0</v>
      </c>
      <c r="M68" s="33">
        <f t="shared" si="9"/>
        <v>52304.662500000006</v>
      </c>
      <c r="N68" s="67">
        <f t="shared" si="10"/>
        <v>0</v>
      </c>
      <c r="O68" s="66">
        <f t="shared" ref="O68:O75" si="12">0+L68</f>
        <v>0</v>
      </c>
      <c r="P68" s="82">
        <f>52304.66+M68</f>
        <v>104609.32250000001</v>
      </c>
      <c r="Q68" s="83">
        <f t="shared" si="11"/>
        <v>0</v>
      </c>
      <c r="R68" s="55"/>
      <c r="S68" s="58"/>
    </row>
    <row r="69" spans="1:19" hidden="1" x14ac:dyDescent="0.25">
      <c r="A69" s="54"/>
      <c r="B69" s="14"/>
      <c r="C69" s="55"/>
      <c r="D69" s="113" t="s">
        <v>381</v>
      </c>
      <c r="E69" s="80" t="s">
        <v>382</v>
      </c>
      <c r="F69" s="33">
        <v>0</v>
      </c>
      <c r="G69" s="65">
        <f>96954.25/12</f>
        <v>8079.520833333333</v>
      </c>
      <c r="H69" s="33">
        <v>0</v>
      </c>
      <c r="I69" s="65">
        <f>96954.25/12</f>
        <v>8079.520833333333</v>
      </c>
      <c r="J69" s="33">
        <v>0</v>
      </c>
      <c r="K69" s="65">
        <f>96954.25/12</f>
        <v>8079.520833333333</v>
      </c>
      <c r="L69" s="66">
        <f t="shared" ref="L69:L100" si="13">+F69+H69+J69</f>
        <v>0</v>
      </c>
      <c r="M69" s="33">
        <f t="shared" ref="M69:M100" si="14">+G69+I69+K69</f>
        <v>24238.5625</v>
      </c>
      <c r="N69" s="67">
        <f t="shared" si="10"/>
        <v>0</v>
      </c>
      <c r="O69" s="66">
        <f t="shared" si="12"/>
        <v>0</v>
      </c>
      <c r="P69" s="82">
        <f>24238.56+M69</f>
        <v>48477.122499999998</v>
      </c>
      <c r="Q69" s="83">
        <f t="shared" si="11"/>
        <v>0</v>
      </c>
      <c r="R69" s="55"/>
      <c r="S69" s="58"/>
    </row>
    <row r="70" spans="1:19" hidden="1" x14ac:dyDescent="0.25">
      <c r="A70" s="54"/>
      <c r="B70" s="14"/>
      <c r="C70" s="55"/>
      <c r="D70" s="113" t="s">
        <v>383</v>
      </c>
      <c r="E70" s="80" t="s">
        <v>384</v>
      </c>
      <c r="F70" s="33">
        <v>0</v>
      </c>
      <c r="G70" s="65">
        <f>110000/12</f>
        <v>9166.6666666666661</v>
      </c>
      <c r="H70" s="33">
        <v>0</v>
      </c>
      <c r="I70" s="65">
        <f>110000/12</f>
        <v>9166.6666666666661</v>
      </c>
      <c r="J70" s="33">
        <v>0</v>
      </c>
      <c r="K70" s="65">
        <f>110000/12</f>
        <v>9166.6666666666661</v>
      </c>
      <c r="L70" s="66">
        <f t="shared" si="13"/>
        <v>0</v>
      </c>
      <c r="M70" s="33">
        <f t="shared" si="14"/>
        <v>27500</v>
      </c>
      <c r="N70" s="67">
        <f t="shared" si="10"/>
        <v>0</v>
      </c>
      <c r="O70" s="66">
        <f t="shared" si="12"/>
        <v>0</v>
      </c>
      <c r="P70" s="82">
        <f>27500+M70</f>
        <v>55000</v>
      </c>
      <c r="Q70" s="83">
        <f t="shared" si="11"/>
        <v>0</v>
      </c>
      <c r="R70" s="55"/>
      <c r="S70" s="58"/>
    </row>
    <row r="71" spans="1:19" hidden="1" x14ac:dyDescent="0.25">
      <c r="A71" s="54"/>
      <c r="B71" s="14"/>
      <c r="C71" s="55"/>
      <c r="D71" s="113" t="s">
        <v>385</v>
      </c>
      <c r="E71" s="80" t="s">
        <v>386</v>
      </c>
      <c r="F71" s="33">
        <v>0</v>
      </c>
      <c r="G71" s="65">
        <f>20000/12</f>
        <v>1666.6666666666667</v>
      </c>
      <c r="H71" s="33">
        <v>0</v>
      </c>
      <c r="I71" s="65">
        <f>20000/12</f>
        <v>1666.6666666666667</v>
      </c>
      <c r="J71" s="33">
        <v>0</v>
      </c>
      <c r="K71" s="65">
        <f>20000/12</f>
        <v>1666.6666666666667</v>
      </c>
      <c r="L71" s="66">
        <f t="shared" si="13"/>
        <v>0</v>
      </c>
      <c r="M71" s="33">
        <f t="shared" si="14"/>
        <v>5000</v>
      </c>
      <c r="N71" s="67">
        <f t="shared" si="10"/>
        <v>0</v>
      </c>
      <c r="O71" s="66">
        <f t="shared" si="12"/>
        <v>0</v>
      </c>
      <c r="P71" s="82">
        <f>5000+M71</f>
        <v>10000</v>
      </c>
      <c r="Q71" s="83">
        <f t="shared" si="11"/>
        <v>0</v>
      </c>
      <c r="R71" s="55"/>
      <c r="S71" s="58"/>
    </row>
    <row r="72" spans="1:19" hidden="1" x14ac:dyDescent="0.25">
      <c r="A72" s="54"/>
      <c r="B72" s="14"/>
      <c r="C72" s="55"/>
      <c r="D72" s="113" t="s">
        <v>387</v>
      </c>
      <c r="E72" s="80" t="s">
        <v>389</v>
      </c>
      <c r="F72" s="33">
        <v>0</v>
      </c>
      <c r="G72" s="65">
        <f>39500/12</f>
        <v>3291.6666666666665</v>
      </c>
      <c r="H72" s="33">
        <v>0</v>
      </c>
      <c r="I72" s="65">
        <f>39500/12</f>
        <v>3291.6666666666665</v>
      </c>
      <c r="J72" s="33">
        <v>0</v>
      </c>
      <c r="K72" s="65">
        <f>39500/12</f>
        <v>3291.6666666666665</v>
      </c>
      <c r="L72" s="66">
        <f t="shared" si="13"/>
        <v>0</v>
      </c>
      <c r="M72" s="33">
        <f t="shared" si="14"/>
        <v>9875</v>
      </c>
      <c r="N72" s="67">
        <f t="shared" si="10"/>
        <v>0</v>
      </c>
      <c r="O72" s="66">
        <f t="shared" si="12"/>
        <v>0</v>
      </c>
      <c r="P72" s="82">
        <f>9875+M72</f>
        <v>19750</v>
      </c>
      <c r="Q72" s="83">
        <f t="shared" si="11"/>
        <v>0</v>
      </c>
      <c r="R72" s="55"/>
      <c r="S72" s="58"/>
    </row>
    <row r="73" spans="1:19" hidden="1" x14ac:dyDescent="0.25">
      <c r="A73" s="54"/>
      <c r="B73" s="14"/>
      <c r="C73" s="55"/>
      <c r="D73" s="113" t="s">
        <v>390</v>
      </c>
      <c r="E73" s="80" t="s">
        <v>388</v>
      </c>
      <c r="F73" s="33">
        <v>0</v>
      </c>
      <c r="G73" s="65">
        <f>485000/12</f>
        <v>40416.666666666664</v>
      </c>
      <c r="H73" s="33">
        <v>0</v>
      </c>
      <c r="I73" s="65">
        <f>485000/12</f>
        <v>40416.666666666664</v>
      </c>
      <c r="J73" s="33">
        <v>0</v>
      </c>
      <c r="K73" s="65">
        <f>485000/12</f>
        <v>40416.666666666664</v>
      </c>
      <c r="L73" s="66">
        <f t="shared" si="13"/>
        <v>0</v>
      </c>
      <c r="M73" s="33">
        <f t="shared" si="14"/>
        <v>121250</v>
      </c>
      <c r="N73" s="67">
        <f t="shared" si="10"/>
        <v>0</v>
      </c>
      <c r="O73" s="66">
        <f t="shared" si="12"/>
        <v>0</v>
      </c>
      <c r="P73" s="82">
        <f>121250+M73</f>
        <v>242500</v>
      </c>
      <c r="Q73" s="83">
        <f t="shared" si="11"/>
        <v>0</v>
      </c>
      <c r="R73" s="55"/>
      <c r="S73" s="58"/>
    </row>
    <row r="74" spans="1:19" hidden="1" x14ac:dyDescent="0.25">
      <c r="A74" s="54"/>
      <c r="B74" s="14"/>
      <c r="C74" s="55"/>
      <c r="D74" s="113" t="s">
        <v>391</v>
      </c>
      <c r="E74" s="80" t="s">
        <v>392</v>
      </c>
      <c r="F74" s="33">
        <v>0</v>
      </c>
      <c r="G74" s="65">
        <f>65000/12</f>
        <v>5416.666666666667</v>
      </c>
      <c r="H74" s="33">
        <v>0</v>
      </c>
      <c r="I74" s="65">
        <f>65000/12</f>
        <v>5416.666666666667</v>
      </c>
      <c r="J74" s="33">
        <v>0</v>
      </c>
      <c r="K74" s="65">
        <f>65000/12</f>
        <v>5416.666666666667</v>
      </c>
      <c r="L74" s="66">
        <f t="shared" si="13"/>
        <v>0</v>
      </c>
      <c r="M74" s="33">
        <f t="shared" si="14"/>
        <v>16250</v>
      </c>
      <c r="N74" s="67">
        <f t="shared" si="10"/>
        <v>0</v>
      </c>
      <c r="O74" s="66">
        <f t="shared" si="12"/>
        <v>0</v>
      </c>
      <c r="P74" s="82">
        <f>16250+M74</f>
        <v>32500</v>
      </c>
      <c r="Q74" s="83">
        <f t="shared" si="11"/>
        <v>0</v>
      </c>
      <c r="R74" s="55"/>
      <c r="S74" s="58"/>
    </row>
    <row r="75" spans="1:19" hidden="1" x14ac:dyDescent="0.25">
      <c r="A75" s="54"/>
      <c r="B75" s="14"/>
      <c r="C75" s="55"/>
      <c r="D75" s="113" t="s">
        <v>393</v>
      </c>
      <c r="E75" s="80" t="s">
        <v>394</v>
      </c>
      <c r="F75" s="33">
        <v>0</v>
      </c>
      <c r="G75" s="65">
        <f>555000/12</f>
        <v>46250</v>
      </c>
      <c r="H75" s="33">
        <v>0</v>
      </c>
      <c r="I75" s="65">
        <f>555000/12</f>
        <v>46250</v>
      </c>
      <c r="J75" s="33">
        <v>0</v>
      </c>
      <c r="K75" s="65">
        <f>555000/12</f>
        <v>46250</v>
      </c>
      <c r="L75" s="66">
        <f t="shared" si="13"/>
        <v>0</v>
      </c>
      <c r="M75" s="33">
        <f t="shared" si="14"/>
        <v>138750</v>
      </c>
      <c r="N75" s="67">
        <f t="shared" si="10"/>
        <v>0</v>
      </c>
      <c r="O75" s="66">
        <f t="shared" si="12"/>
        <v>0</v>
      </c>
      <c r="P75" s="82">
        <f>138750+M75</f>
        <v>277500</v>
      </c>
      <c r="Q75" s="83">
        <f t="shared" si="11"/>
        <v>0</v>
      </c>
      <c r="R75" s="55"/>
      <c r="S75" s="58"/>
    </row>
    <row r="76" spans="1:19" hidden="1" x14ac:dyDescent="0.25">
      <c r="A76" s="54"/>
      <c r="B76" s="14"/>
      <c r="C76" s="55"/>
      <c r="D76" s="113" t="s">
        <v>54</v>
      </c>
      <c r="E76" s="80" t="s">
        <v>318</v>
      </c>
      <c r="F76" s="33">
        <v>128695.32</v>
      </c>
      <c r="G76" s="65">
        <f>1268033.45/12</f>
        <v>105669.45416666666</v>
      </c>
      <c r="H76" s="33">
        <v>332692.49</v>
      </c>
      <c r="I76" s="65">
        <f>1268033.45/12</f>
        <v>105669.45416666666</v>
      </c>
      <c r="J76" s="33">
        <v>0</v>
      </c>
      <c r="K76" s="65">
        <f>1268033.45/12</f>
        <v>105669.45416666666</v>
      </c>
      <c r="L76" s="66">
        <f t="shared" si="13"/>
        <v>461387.81</v>
      </c>
      <c r="M76" s="33">
        <f t="shared" si="14"/>
        <v>317008.36249999999</v>
      </c>
      <c r="N76" s="67">
        <f t="shared" si="10"/>
        <v>145.54436556858968</v>
      </c>
      <c r="O76" s="66">
        <f>72819.46+L76</f>
        <v>534207.27</v>
      </c>
      <c r="P76" s="82">
        <f>317008.36+M76</f>
        <v>634016.72249999992</v>
      </c>
      <c r="Q76" s="83">
        <f t="shared" si="11"/>
        <v>84.257599372704263</v>
      </c>
      <c r="R76" s="55"/>
      <c r="S76" s="58"/>
    </row>
    <row r="77" spans="1:19" x14ac:dyDescent="0.25">
      <c r="A77" s="54"/>
      <c r="B77" s="14"/>
      <c r="C77" s="55"/>
      <c r="D77" s="113" t="s">
        <v>395</v>
      </c>
      <c r="E77" s="80" t="s">
        <v>372</v>
      </c>
      <c r="F77" s="33">
        <v>22762.45</v>
      </c>
      <c r="G77" s="65">
        <f>177300/12</f>
        <v>14775</v>
      </c>
      <c r="H77" s="33">
        <v>13284</v>
      </c>
      <c r="I77" s="65">
        <f>177300/12</f>
        <v>14775</v>
      </c>
      <c r="J77" s="33">
        <v>0</v>
      </c>
      <c r="K77" s="65">
        <f>177300/12</f>
        <v>14775</v>
      </c>
      <c r="L77" s="66">
        <f t="shared" si="13"/>
        <v>36046.449999999997</v>
      </c>
      <c r="M77" s="33">
        <f t="shared" si="14"/>
        <v>44325</v>
      </c>
      <c r="N77" s="67">
        <f t="shared" si="10"/>
        <v>81.323068245910875</v>
      </c>
      <c r="O77" s="66">
        <f>39852+L77</f>
        <v>75898.45</v>
      </c>
      <c r="P77" s="82">
        <f>44325+M77</f>
        <v>88650</v>
      </c>
      <c r="Q77" s="83">
        <f t="shared" si="11"/>
        <v>85.615848843767623</v>
      </c>
      <c r="R77" s="55"/>
      <c r="S77" s="58"/>
    </row>
    <row r="78" spans="1:19" x14ac:dyDescent="0.25">
      <c r="A78" s="54"/>
      <c r="B78" s="14"/>
      <c r="C78" s="55"/>
      <c r="D78" s="113" t="s">
        <v>396</v>
      </c>
      <c r="E78" s="80" t="s">
        <v>372</v>
      </c>
      <c r="F78" s="33">
        <v>68188.72</v>
      </c>
      <c r="G78" s="65">
        <f>815596/12</f>
        <v>67966.333333333328</v>
      </c>
      <c r="H78" s="33">
        <v>69016.350000000006</v>
      </c>
      <c r="I78" s="65">
        <f>815596/12</f>
        <v>67966.333333333328</v>
      </c>
      <c r="J78" s="33"/>
      <c r="K78" s="65">
        <f>815596/12</f>
        <v>67966.333333333328</v>
      </c>
      <c r="L78" s="66">
        <f t="shared" si="13"/>
        <v>137205.07</v>
      </c>
      <c r="M78" s="33">
        <f t="shared" si="14"/>
        <v>203899</v>
      </c>
      <c r="N78" s="67">
        <f t="shared" si="10"/>
        <v>67.290702749890883</v>
      </c>
      <c r="O78" s="66">
        <f>196898.62+L78</f>
        <v>334103.69</v>
      </c>
      <c r="P78" s="82">
        <f>203899+M78</f>
        <v>407798</v>
      </c>
      <c r="Q78" s="83">
        <f t="shared" si="11"/>
        <v>81.928722063374522</v>
      </c>
      <c r="R78" s="55"/>
      <c r="S78" s="58"/>
    </row>
    <row r="79" spans="1:19" x14ac:dyDescent="0.25">
      <c r="A79" s="54"/>
      <c r="B79" s="14"/>
      <c r="C79" s="55"/>
      <c r="D79" s="113" t="s">
        <v>397</v>
      </c>
      <c r="E79" s="80" t="s">
        <v>372</v>
      </c>
      <c r="F79" s="33">
        <v>11935.63</v>
      </c>
      <c r="G79" s="65">
        <f>527130/12</f>
        <v>43927.5</v>
      </c>
      <c r="H79" s="33">
        <v>19899.38</v>
      </c>
      <c r="I79" s="65">
        <f>527130/12</f>
        <v>43927.5</v>
      </c>
      <c r="J79" s="33"/>
      <c r="K79" s="65">
        <f>527130/12</f>
        <v>43927.5</v>
      </c>
      <c r="L79" s="66">
        <f t="shared" si="13"/>
        <v>31835.010000000002</v>
      </c>
      <c r="M79" s="33">
        <f t="shared" si="14"/>
        <v>131782.5</v>
      </c>
      <c r="N79" s="67">
        <f t="shared" si="10"/>
        <v>24.157236355358265</v>
      </c>
      <c r="O79" s="66">
        <f>71393.24+L79</f>
        <v>103228.25</v>
      </c>
      <c r="P79" s="82">
        <f>131782.5+M79</f>
        <v>263565</v>
      </c>
      <c r="Q79" s="83">
        <f t="shared" si="11"/>
        <v>39.16614497372565</v>
      </c>
      <c r="R79" s="55"/>
      <c r="S79" s="58"/>
    </row>
    <row r="80" spans="1:19" x14ac:dyDescent="0.25">
      <c r="A80" s="54"/>
      <c r="B80" s="14"/>
      <c r="C80" s="55"/>
      <c r="D80" s="113" t="s">
        <v>398</v>
      </c>
      <c r="E80" s="80" t="s">
        <v>372</v>
      </c>
      <c r="F80" s="33">
        <v>13284</v>
      </c>
      <c r="G80" s="65">
        <f>175300/12</f>
        <v>14608.333333333334</v>
      </c>
      <c r="H80" s="33">
        <v>13284</v>
      </c>
      <c r="I80" s="65">
        <f>175300/12</f>
        <v>14608.333333333334</v>
      </c>
      <c r="J80" s="33"/>
      <c r="K80" s="65">
        <f>175300/12</f>
        <v>14608.333333333334</v>
      </c>
      <c r="L80" s="66">
        <f t="shared" si="13"/>
        <v>26568</v>
      </c>
      <c r="M80" s="33">
        <f t="shared" si="14"/>
        <v>43825</v>
      </c>
      <c r="N80" s="67">
        <f t="shared" si="10"/>
        <v>60.622932116371928</v>
      </c>
      <c r="O80" s="66">
        <f>34321.39+L80</f>
        <v>60889.39</v>
      </c>
      <c r="P80" s="82">
        <f>43825+M80</f>
        <v>87650</v>
      </c>
      <c r="Q80" s="83">
        <f t="shared" si="11"/>
        <v>69.46878494010268</v>
      </c>
      <c r="R80" s="55"/>
      <c r="S80" s="58"/>
    </row>
    <row r="81" spans="1:19" x14ac:dyDescent="0.25">
      <c r="A81" s="54"/>
      <c r="B81" s="14"/>
      <c r="C81" s="55"/>
      <c r="D81" s="113" t="s">
        <v>399</v>
      </c>
      <c r="E81" s="80" t="s">
        <v>372</v>
      </c>
      <c r="F81" s="33">
        <v>13505.41</v>
      </c>
      <c r="G81" s="65">
        <f>175300/12</f>
        <v>14608.333333333334</v>
      </c>
      <c r="H81" s="33">
        <v>12841.2</v>
      </c>
      <c r="I81" s="65">
        <f>175300/12</f>
        <v>14608.333333333334</v>
      </c>
      <c r="J81" s="33"/>
      <c r="K81" s="65">
        <f>175300/12</f>
        <v>14608.333333333334</v>
      </c>
      <c r="L81" s="66">
        <f t="shared" si="13"/>
        <v>26346.61</v>
      </c>
      <c r="M81" s="33">
        <f t="shared" si="14"/>
        <v>43825</v>
      </c>
      <c r="N81" s="67">
        <f t="shared" si="10"/>
        <v>60.117763833428405</v>
      </c>
      <c r="O81" s="66">
        <f>33210+L81</f>
        <v>59556.61</v>
      </c>
      <c r="P81" s="82">
        <f>43825+M81</f>
        <v>87650</v>
      </c>
      <c r="Q81" s="83">
        <f t="shared" si="11"/>
        <v>67.94821448944667</v>
      </c>
      <c r="R81" s="55"/>
      <c r="S81" s="58"/>
    </row>
    <row r="82" spans="1:19" x14ac:dyDescent="0.25">
      <c r="A82" s="54"/>
      <c r="B82" s="14"/>
      <c r="C82" s="55"/>
      <c r="D82" s="113" t="s">
        <v>400</v>
      </c>
      <c r="E82" s="80" t="s">
        <v>372</v>
      </c>
      <c r="F82" s="33">
        <v>0</v>
      </c>
      <c r="G82" s="65">
        <f>175300/12</f>
        <v>14608.333333333334</v>
      </c>
      <c r="H82" s="33">
        <v>0</v>
      </c>
      <c r="I82" s="65">
        <f>175300/12</f>
        <v>14608.333333333334</v>
      </c>
      <c r="J82" s="33">
        <v>0</v>
      </c>
      <c r="K82" s="65">
        <f>175300/12</f>
        <v>14608.333333333334</v>
      </c>
      <c r="L82" s="66">
        <f t="shared" si="13"/>
        <v>0</v>
      </c>
      <c r="M82" s="33">
        <f t="shared" si="14"/>
        <v>43825</v>
      </c>
      <c r="N82" s="67">
        <f t="shared" si="10"/>
        <v>0</v>
      </c>
      <c r="O82" s="66">
        <f>0+L82</f>
        <v>0</v>
      </c>
      <c r="P82" s="82">
        <f>43825+M82</f>
        <v>87650</v>
      </c>
      <c r="Q82" s="83">
        <f t="shared" si="11"/>
        <v>0</v>
      </c>
      <c r="R82" s="55"/>
      <c r="S82" s="58"/>
    </row>
    <row r="83" spans="1:19" hidden="1" x14ac:dyDescent="0.25">
      <c r="A83" s="54"/>
      <c r="B83" s="14"/>
      <c r="C83" s="55"/>
      <c r="D83" s="113" t="s">
        <v>221</v>
      </c>
      <c r="E83" s="80" t="s">
        <v>371</v>
      </c>
      <c r="F83" s="33">
        <v>19186.400000000001</v>
      </c>
      <c r="G83" s="65">
        <f>35658.5/12</f>
        <v>2971.5416666666665</v>
      </c>
      <c r="H83" s="33">
        <v>10649.55</v>
      </c>
      <c r="I83" s="65">
        <v>2971.5416666666665</v>
      </c>
      <c r="J83" s="33">
        <v>0</v>
      </c>
      <c r="K83" s="81">
        <v>2971.5416666666665</v>
      </c>
      <c r="L83" s="66">
        <f t="shared" si="13"/>
        <v>29835.95</v>
      </c>
      <c r="M83" s="33">
        <f t="shared" si="14"/>
        <v>8914.625</v>
      </c>
      <c r="N83" s="67">
        <f t="shared" si="10"/>
        <v>334.68541862389054</v>
      </c>
      <c r="O83" s="66">
        <f>0+L83</f>
        <v>29835.95</v>
      </c>
      <c r="P83" s="82">
        <f>8914.625+M83</f>
        <v>17829.25</v>
      </c>
      <c r="Q83" s="83">
        <f t="shared" si="11"/>
        <v>167.34270931194527</v>
      </c>
      <c r="R83" s="55"/>
      <c r="S83" s="58"/>
    </row>
    <row r="84" spans="1:19" hidden="1" x14ac:dyDescent="0.25">
      <c r="A84" s="54"/>
      <c r="B84" s="14"/>
      <c r="C84" s="55"/>
      <c r="D84" s="113" t="s">
        <v>401</v>
      </c>
      <c r="E84" s="80" t="s">
        <v>402</v>
      </c>
      <c r="F84" s="33">
        <v>0</v>
      </c>
      <c r="G84" s="65">
        <f>103000/12</f>
        <v>8583.3333333333339</v>
      </c>
      <c r="H84" s="33">
        <v>18890.64</v>
      </c>
      <c r="I84" s="65">
        <f>103000/12</f>
        <v>8583.3333333333339</v>
      </c>
      <c r="J84" s="33"/>
      <c r="K84" s="65">
        <f>103000/12</f>
        <v>8583.3333333333339</v>
      </c>
      <c r="L84" s="66">
        <f t="shared" si="13"/>
        <v>18890.64</v>
      </c>
      <c r="M84" s="33">
        <f t="shared" si="14"/>
        <v>25750</v>
      </c>
      <c r="N84" s="67">
        <f t="shared" si="10"/>
        <v>73.361708737864078</v>
      </c>
      <c r="O84" s="66">
        <f>0+L84</f>
        <v>18890.64</v>
      </c>
      <c r="P84" s="82">
        <f>25750+M84</f>
        <v>51500</v>
      </c>
      <c r="Q84" s="83">
        <f t="shared" si="11"/>
        <v>36.680854368932039</v>
      </c>
      <c r="R84" s="55"/>
      <c r="S84" s="58"/>
    </row>
    <row r="85" spans="1:19" x14ac:dyDescent="0.25">
      <c r="A85" s="54"/>
      <c r="B85" s="14"/>
      <c r="C85" s="55"/>
      <c r="D85" s="113" t="s">
        <v>403</v>
      </c>
      <c r="E85" s="80" t="s">
        <v>372</v>
      </c>
      <c r="F85" s="33">
        <v>2490313.73</v>
      </c>
      <c r="G85" s="65">
        <f>6984090/12</f>
        <v>582007.5</v>
      </c>
      <c r="H85" s="33">
        <v>338839.17</v>
      </c>
      <c r="I85" s="65">
        <f>6984090/12</f>
        <v>582007.5</v>
      </c>
      <c r="J85" s="33"/>
      <c r="K85" s="65">
        <f>6984090/12</f>
        <v>582007.5</v>
      </c>
      <c r="L85" s="66">
        <f t="shared" si="13"/>
        <v>2829152.9</v>
      </c>
      <c r="M85" s="33">
        <f t="shared" si="14"/>
        <v>1746022.5</v>
      </c>
      <c r="N85" s="67">
        <f t="shared" si="10"/>
        <v>162.03416049907716</v>
      </c>
      <c r="O85" s="66">
        <f>1324289.95+L85</f>
        <v>4153442.8499999996</v>
      </c>
      <c r="P85" s="82">
        <f>1746022.5+O85</f>
        <v>5899465.3499999996</v>
      </c>
      <c r="Q85" s="83">
        <f t="shared" si="11"/>
        <v>70.403716329989123</v>
      </c>
      <c r="R85" s="55"/>
      <c r="S85" s="58"/>
    </row>
    <row r="86" spans="1:19" x14ac:dyDescent="0.25">
      <c r="A86" s="54"/>
      <c r="B86" s="14"/>
      <c r="C86" s="55"/>
      <c r="D86" s="113" t="s">
        <v>404</v>
      </c>
      <c r="E86" s="80" t="s">
        <v>372</v>
      </c>
      <c r="F86" s="33">
        <v>28062</v>
      </c>
      <c r="G86" s="65">
        <f>349300/12</f>
        <v>29108.333333333332</v>
      </c>
      <c r="H86" s="33">
        <v>30209.82</v>
      </c>
      <c r="I86" s="65">
        <f>349300/12</f>
        <v>29108.333333333332</v>
      </c>
      <c r="J86" s="33"/>
      <c r="K86" s="65">
        <f>349300/12</f>
        <v>29108.333333333332</v>
      </c>
      <c r="L86" s="66">
        <f t="shared" si="13"/>
        <v>58271.82</v>
      </c>
      <c r="M86" s="33">
        <f t="shared" si="14"/>
        <v>87325</v>
      </c>
      <c r="N86" s="67">
        <f t="shared" si="10"/>
        <v>66.729825365015756</v>
      </c>
      <c r="O86" s="66">
        <f>72986.86+L86</f>
        <v>131258.68</v>
      </c>
      <c r="P86" s="82">
        <f>87325+O86</f>
        <v>218583.67999999999</v>
      </c>
      <c r="Q86" s="83">
        <f t="shared" si="11"/>
        <v>60.049624930827406</v>
      </c>
      <c r="R86" s="55"/>
      <c r="S86" s="58"/>
    </row>
    <row r="87" spans="1:19" x14ac:dyDescent="0.25">
      <c r="A87" s="54"/>
      <c r="B87" s="14"/>
      <c r="C87" s="55"/>
      <c r="D87" s="113" t="s">
        <v>405</v>
      </c>
      <c r="E87" s="80" t="s">
        <v>372</v>
      </c>
      <c r="F87" s="33">
        <v>197059.75</v>
      </c>
      <c r="G87" s="65">
        <f>2392300/12</f>
        <v>199358.33333333334</v>
      </c>
      <c r="H87" s="33">
        <v>184785.54</v>
      </c>
      <c r="I87" s="65">
        <f>2392300/12</f>
        <v>199358.33333333334</v>
      </c>
      <c r="J87" s="33"/>
      <c r="K87" s="65">
        <f>2392300/12</f>
        <v>199358.33333333334</v>
      </c>
      <c r="L87" s="66">
        <f t="shared" si="13"/>
        <v>381845.29000000004</v>
      </c>
      <c r="M87" s="33">
        <f t="shared" si="14"/>
        <v>598075</v>
      </c>
      <c r="N87" s="67">
        <f t="shared" si="10"/>
        <v>63.845720018392349</v>
      </c>
      <c r="O87" s="66">
        <f>575500.73+L87</f>
        <v>957346.02</v>
      </c>
      <c r="P87" s="82">
        <f>598075+M87</f>
        <v>1196150</v>
      </c>
      <c r="Q87" s="83">
        <f t="shared" si="11"/>
        <v>80.035615934456388</v>
      </c>
      <c r="R87" s="55"/>
      <c r="S87" s="58"/>
    </row>
    <row r="88" spans="1:19" x14ac:dyDescent="0.25">
      <c r="A88" s="54"/>
      <c r="B88" s="14"/>
      <c r="C88" s="55"/>
      <c r="D88" s="113" t="s">
        <v>406</v>
      </c>
      <c r="E88" s="80" t="s">
        <v>372</v>
      </c>
      <c r="F88" s="33">
        <v>44495.58</v>
      </c>
      <c r="G88" s="33">
        <f>499215.2/12</f>
        <v>41601.26666666667</v>
      </c>
      <c r="H88" s="33">
        <v>41597.15</v>
      </c>
      <c r="I88" s="33">
        <f>499215.2/12</f>
        <v>41601.26666666667</v>
      </c>
      <c r="J88" s="33"/>
      <c r="K88" s="33">
        <f>499215.2/12</f>
        <v>41601.26666666667</v>
      </c>
      <c r="L88" s="66">
        <f t="shared" si="13"/>
        <v>86092.73000000001</v>
      </c>
      <c r="M88" s="33">
        <f t="shared" si="14"/>
        <v>124803.80000000002</v>
      </c>
      <c r="N88" s="67">
        <f t="shared" si="10"/>
        <v>68.982458867438339</v>
      </c>
      <c r="O88" s="66">
        <f>122107.55+L88</f>
        <v>208200.28000000003</v>
      </c>
      <c r="P88" s="82">
        <f>124803.8+O88</f>
        <v>333004.08</v>
      </c>
      <c r="Q88" s="83">
        <f t="shared" si="11"/>
        <v>62.521840573244639</v>
      </c>
      <c r="R88" s="55"/>
      <c r="S88" s="58"/>
    </row>
    <row r="89" spans="1:19" x14ac:dyDescent="0.25">
      <c r="A89" s="54"/>
      <c r="B89" s="14"/>
      <c r="C89" s="55"/>
      <c r="D89" s="113" t="s">
        <v>407</v>
      </c>
      <c r="E89" s="80" t="s">
        <v>372</v>
      </c>
      <c r="F89" s="33">
        <v>90065.85</v>
      </c>
      <c r="G89" s="33">
        <f>1093678/12</f>
        <v>91139.833333333328</v>
      </c>
      <c r="H89" s="33">
        <v>76053.070000000007</v>
      </c>
      <c r="I89" s="33">
        <f>1093678/12</f>
        <v>91139.833333333328</v>
      </c>
      <c r="J89" s="33"/>
      <c r="K89" s="33">
        <f>1093678/12</f>
        <v>91139.833333333328</v>
      </c>
      <c r="L89" s="66">
        <f t="shared" si="13"/>
        <v>166118.92000000001</v>
      </c>
      <c r="M89" s="33">
        <f t="shared" si="14"/>
        <v>273419.5</v>
      </c>
      <c r="N89" s="67">
        <f t="shared" si="10"/>
        <v>60.756061656173031</v>
      </c>
      <c r="O89" s="66">
        <f>220312.88+L89</f>
        <v>386431.80000000005</v>
      </c>
      <c r="P89" s="82">
        <f>273419.5+M89</f>
        <v>546839</v>
      </c>
      <c r="Q89" s="83">
        <f t="shared" si="11"/>
        <v>70.666466729695586</v>
      </c>
      <c r="R89" s="55"/>
      <c r="S89" s="58"/>
    </row>
    <row r="90" spans="1:19" hidden="1" x14ac:dyDescent="0.25">
      <c r="A90" s="54"/>
      <c r="B90" s="14"/>
      <c r="C90" s="55"/>
      <c r="D90" s="113" t="s">
        <v>222</v>
      </c>
      <c r="E90" s="80" t="s">
        <v>319</v>
      </c>
      <c r="F90" s="33">
        <v>0</v>
      </c>
      <c r="G90" s="65">
        <f>13000/12</f>
        <v>1083.3333333333333</v>
      </c>
      <c r="H90" s="33">
        <v>0</v>
      </c>
      <c r="I90" s="65">
        <v>1083.3333333333333</v>
      </c>
      <c r="J90" s="33">
        <v>0</v>
      </c>
      <c r="K90" s="81">
        <v>1083.3333333333333</v>
      </c>
      <c r="L90" s="66">
        <f t="shared" si="13"/>
        <v>0</v>
      </c>
      <c r="M90" s="33">
        <f t="shared" si="14"/>
        <v>3250</v>
      </c>
      <c r="N90" s="67">
        <f t="shared" si="10"/>
        <v>0</v>
      </c>
      <c r="O90" s="66">
        <f>0+L90</f>
        <v>0</v>
      </c>
      <c r="P90" s="82">
        <f>3250+M90</f>
        <v>6500</v>
      </c>
      <c r="Q90" s="83">
        <f t="shared" si="11"/>
        <v>0</v>
      </c>
      <c r="R90" s="55"/>
      <c r="S90" s="58"/>
    </row>
    <row r="91" spans="1:19" hidden="1" x14ac:dyDescent="0.25">
      <c r="A91" s="54"/>
      <c r="B91" s="14"/>
      <c r="C91" s="55"/>
      <c r="D91" s="113" t="s">
        <v>223</v>
      </c>
      <c r="E91" s="80" t="s">
        <v>320</v>
      </c>
      <c r="F91" s="33">
        <v>0</v>
      </c>
      <c r="G91" s="65">
        <f>+I91</f>
        <v>1083.3333333333333</v>
      </c>
      <c r="H91" s="33">
        <v>0</v>
      </c>
      <c r="I91" s="65">
        <v>1083.3333333333333</v>
      </c>
      <c r="J91" s="33">
        <v>0</v>
      </c>
      <c r="K91" s="81">
        <v>1083.3333333333333</v>
      </c>
      <c r="L91" s="66">
        <f t="shared" si="13"/>
        <v>0</v>
      </c>
      <c r="M91" s="33">
        <f t="shared" si="14"/>
        <v>3250</v>
      </c>
      <c r="N91" s="67">
        <f t="shared" ref="N91:N122" si="15">+L91/M91*100</f>
        <v>0</v>
      </c>
      <c r="O91" s="66">
        <v>0</v>
      </c>
      <c r="P91" s="82">
        <f>3250+M91</f>
        <v>6500</v>
      </c>
      <c r="Q91" s="83">
        <f t="shared" ref="Q91:Q122" si="16">O91/P91*100</f>
        <v>0</v>
      </c>
      <c r="R91" s="55"/>
      <c r="S91" s="58"/>
    </row>
    <row r="92" spans="1:19" hidden="1" x14ac:dyDescent="0.25">
      <c r="A92" s="54"/>
      <c r="B92" s="14"/>
      <c r="C92" s="55"/>
      <c r="D92" s="113" t="s">
        <v>224</v>
      </c>
      <c r="E92" s="80" t="s">
        <v>321</v>
      </c>
      <c r="F92" s="33">
        <v>0</v>
      </c>
      <c r="G92" s="65">
        <f>+I92</f>
        <v>1083.3333333333333</v>
      </c>
      <c r="H92" s="33">
        <v>0</v>
      </c>
      <c r="I92" s="65">
        <v>1083.3333333333333</v>
      </c>
      <c r="J92" s="33">
        <v>0</v>
      </c>
      <c r="K92" s="81">
        <v>1083.3333333333333</v>
      </c>
      <c r="L92" s="66">
        <f t="shared" si="13"/>
        <v>0</v>
      </c>
      <c r="M92" s="33">
        <f t="shared" si="14"/>
        <v>3250</v>
      </c>
      <c r="N92" s="67">
        <f t="shared" si="15"/>
        <v>0</v>
      </c>
      <c r="O92" s="66">
        <v>0</v>
      </c>
      <c r="P92" s="82">
        <f>3250+M92</f>
        <v>6500</v>
      </c>
      <c r="Q92" s="83">
        <f t="shared" si="16"/>
        <v>0</v>
      </c>
      <c r="R92" s="55"/>
      <c r="S92" s="58"/>
    </row>
    <row r="93" spans="1:19" x14ac:dyDescent="0.25">
      <c r="A93" s="54"/>
      <c r="B93" s="14"/>
      <c r="C93" s="55"/>
      <c r="D93" s="113" t="s">
        <v>408</v>
      </c>
      <c r="E93" s="80" t="s">
        <v>372</v>
      </c>
      <c r="F93" s="33">
        <v>122261</v>
      </c>
      <c r="G93" s="65">
        <f>1466491.92/12</f>
        <v>122207.65999999999</v>
      </c>
      <c r="H93" s="33">
        <v>147505.20000000001</v>
      </c>
      <c r="I93" s="65">
        <f>1466491.92/12</f>
        <v>122207.65999999999</v>
      </c>
      <c r="J93" s="33"/>
      <c r="K93" s="65">
        <f>1466491.92/12</f>
        <v>122207.65999999999</v>
      </c>
      <c r="L93" s="66">
        <f t="shared" si="13"/>
        <v>269766.2</v>
      </c>
      <c r="M93" s="33">
        <f t="shared" si="14"/>
        <v>366622.98</v>
      </c>
      <c r="N93" s="67">
        <f t="shared" si="15"/>
        <v>73.581366885403639</v>
      </c>
      <c r="O93" s="66">
        <f>347056.67+L93</f>
        <v>616822.87</v>
      </c>
      <c r="P93" s="82">
        <f>366622.98+M93</f>
        <v>733245.96</v>
      </c>
      <c r="Q93" s="83">
        <f t="shared" si="16"/>
        <v>84.122232327062534</v>
      </c>
      <c r="R93" s="55"/>
      <c r="S93" s="58"/>
    </row>
    <row r="94" spans="1:19" hidden="1" x14ac:dyDescent="0.25">
      <c r="A94" s="54"/>
      <c r="B94" s="14"/>
      <c r="C94" s="55"/>
      <c r="D94" s="113" t="s">
        <v>225</v>
      </c>
      <c r="E94" s="80" t="s">
        <v>322</v>
      </c>
      <c r="F94" s="33">
        <v>0</v>
      </c>
      <c r="G94" s="65">
        <f>14000/12</f>
        <v>1166.6666666666667</v>
      </c>
      <c r="H94" s="33">
        <v>0</v>
      </c>
      <c r="I94" s="65">
        <v>1166.6666666666667</v>
      </c>
      <c r="J94" s="33">
        <v>0</v>
      </c>
      <c r="K94" s="81">
        <v>1166.6666666666667</v>
      </c>
      <c r="L94" s="66">
        <f t="shared" si="13"/>
        <v>0</v>
      </c>
      <c r="M94" s="33">
        <f t="shared" si="14"/>
        <v>3500</v>
      </c>
      <c r="N94" s="67">
        <f t="shared" si="15"/>
        <v>0</v>
      </c>
      <c r="O94" s="66">
        <v>0</v>
      </c>
      <c r="P94" s="82">
        <f>3500+M94</f>
        <v>7000</v>
      </c>
      <c r="Q94" s="83">
        <f t="shared" si="16"/>
        <v>0</v>
      </c>
      <c r="R94" s="55"/>
      <c r="S94" s="58"/>
    </row>
    <row r="95" spans="1:19" hidden="1" x14ac:dyDescent="0.25">
      <c r="A95" s="54"/>
      <c r="B95" s="14"/>
      <c r="C95" s="55"/>
      <c r="D95" s="113" t="s">
        <v>226</v>
      </c>
      <c r="E95" s="80" t="s">
        <v>323</v>
      </c>
      <c r="F95" s="33">
        <v>18455.16</v>
      </c>
      <c r="G95" s="65">
        <f>169000/12</f>
        <v>14083.333333333334</v>
      </c>
      <c r="H95" s="65">
        <v>8389.75</v>
      </c>
      <c r="I95" s="65">
        <v>14083.333333333334</v>
      </c>
      <c r="J95" s="65">
        <v>0</v>
      </c>
      <c r="K95" s="81">
        <v>14083.333333333334</v>
      </c>
      <c r="L95" s="66">
        <f t="shared" si="13"/>
        <v>26844.91</v>
      </c>
      <c r="M95" s="33">
        <f t="shared" si="14"/>
        <v>42250</v>
      </c>
      <c r="N95" s="67">
        <f t="shared" si="15"/>
        <v>63.538248520710063</v>
      </c>
      <c r="O95" s="66">
        <f>8349.29+L95</f>
        <v>35194.199999999997</v>
      </c>
      <c r="P95" s="82">
        <f>42250+M95</f>
        <v>84500</v>
      </c>
      <c r="Q95" s="83">
        <f t="shared" si="16"/>
        <v>41.649940828402364</v>
      </c>
      <c r="R95" s="55"/>
      <c r="S95" s="58"/>
    </row>
    <row r="96" spans="1:19" hidden="1" x14ac:dyDescent="0.25">
      <c r="A96" s="54"/>
      <c r="B96" s="14"/>
      <c r="C96" s="55"/>
      <c r="D96" s="113" t="s">
        <v>227</v>
      </c>
      <c r="E96" s="80" t="s">
        <v>324</v>
      </c>
      <c r="F96" s="33">
        <v>14999.96</v>
      </c>
      <c r="G96" s="65">
        <f>32755.91/12</f>
        <v>2729.6591666666668</v>
      </c>
      <c r="H96" s="33">
        <v>0</v>
      </c>
      <c r="I96" s="65">
        <f>32755.91/12</f>
        <v>2729.6591666666668</v>
      </c>
      <c r="J96" s="33">
        <v>0</v>
      </c>
      <c r="K96" s="65">
        <f>32755.91/12</f>
        <v>2729.6591666666668</v>
      </c>
      <c r="L96" s="66">
        <f t="shared" si="13"/>
        <v>14999.96</v>
      </c>
      <c r="M96" s="33">
        <f t="shared" si="14"/>
        <v>8188.9775000000009</v>
      </c>
      <c r="N96" s="67">
        <f t="shared" si="15"/>
        <v>183.17256336337471</v>
      </c>
      <c r="O96" s="66">
        <f>17755.95+L96</f>
        <v>32755.91</v>
      </c>
      <c r="P96" s="82">
        <f>8188.98+M96</f>
        <v>16377.9575</v>
      </c>
      <c r="Q96" s="83">
        <f t="shared" si="16"/>
        <v>199.99996947116267</v>
      </c>
      <c r="R96" s="55"/>
      <c r="S96" s="58"/>
    </row>
    <row r="97" spans="1:19" hidden="1" x14ac:dyDescent="0.25">
      <c r="A97" s="54"/>
      <c r="B97" s="14"/>
      <c r="C97" s="55"/>
      <c r="D97" s="113" t="s">
        <v>228</v>
      </c>
      <c r="E97" s="80" t="s">
        <v>325</v>
      </c>
      <c r="F97" s="33">
        <v>0</v>
      </c>
      <c r="G97" s="65">
        <f>8500/12</f>
        <v>708.33333333333337</v>
      </c>
      <c r="H97" s="33">
        <v>0</v>
      </c>
      <c r="I97" s="65">
        <v>708.33333333333337</v>
      </c>
      <c r="J97" s="33">
        <v>0</v>
      </c>
      <c r="K97" s="81">
        <v>708.33333333333337</v>
      </c>
      <c r="L97" s="66">
        <f t="shared" si="13"/>
        <v>0</v>
      </c>
      <c r="M97" s="33">
        <f t="shared" si="14"/>
        <v>2125</v>
      </c>
      <c r="N97" s="67">
        <f t="shared" si="15"/>
        <v>0</v>
      </c>
      <c r="O97" s="66">
        <v>0</v>
      </c>
      <c r="P97" s="82">
        <f>2125+M97</f>
        <v>4250</v>
      </c>
      <c r="Q97" s="83">
        <f t="shared" si="16"/>
        <v>0</v>
      </c>
      <c r="R97" s="55"/>
      <c r="S97" s="58"/>
    </row>
    <row r="98" spans="1:19" hidden="1" x14ac:dyDescent="0.25">
      <c r="A98" s="54"/>
      <c r="B98" s="14"/>
      <c r="C98" s="55"/>
      <c r="D98" s="113" t="s">
        <v>229</v>
      </c>
      <c r="E98" s="80" t="s">
        <v>326</v>
      </c>
      <c r="F98" s="33">
        <v>0</v>
      </c>
      <c r="G98" s="65">
        <f>+I98</f>
        <v>708.33333333333337</v>
      </c>
      <c r="H98" s="33">
        <v>0</v>
      </c>
      <c r="I98" s="65">
        <v>708.33333333333337</v>
      </c>
      <c r="J98" s="33">
        <v>0</v>
      </c>
      <c r="K98" s="81">
        <v>708.33333333333337</v>
      </c>
      <c r="L98" s="66">
        <f t="shared" si="13"/>
        <v>0</v>
      </c>
      <c r="M98" s="33">
        <f t="shared" si="14"/>
        <v>2125</v>
      </c>
      <c r="N98" s="67">
        <f t="shared" si="15"/>
        <v>0</v>
      </c>
      <c r="O98" s="66">
        <v>0</v>
      </c>
      <c r="P98" s="82">
        <f>2125+M98</f>
        <v>4250</v>
      </c>
      <c r="Q98" s="83">
        <f t="shared" si="16"/>
        <v>0</v>
      </c>
      <c r="R98" s="55"/>
      <c r="S98" s="58"/>
    </row>
    <row r="99" spans="1:19" x14ac:dyDescent="0.25">
      <c r="A99" s="54"/>
      <c r="B99" s="14"/>
      <c r="C99" s="55"/>
      <c r="D99" s="113" t="s">
        <v>409</v>
      </c>
      <c r="E99" s="80" t="s">
        <v>372</v>
      </c>
      <c r="F99" s="33">
        <v>22285.72</v>
      </c>
      <c r="G99" s="65">
        <f>503958/12</f>
        <v>41996.5</v>
      </c>
      <c r="H99" s="33">
        <v>21014.2</v>
      </c>
      <c r="I99" s="65">
        <f>503958/12</f>
        <v>41996.5</v>
      </c>
      <c r="J99" s="33"/>
      <c r="K99" s="65">
        <f>503958/12</f>
        <v>41996.5</v>
      </c>
      <c r="L99" s="66">
        <f t="shared" si="13"/>
        <v>43299.92</v>
      </c>
      <c r="M99" s="33">
        <f t="shared" si="14"/>
        <v>125989.5</v>
      </c>
      <c r="N99" s="67">
        <f t="shared" si="15"/>
        <v>34.367879863004461</v>
      </c>
      <c r="O99" s="66">
        <f>65881.63+L99</f>
        <v>109181.55</v>
      </c>
      <c r="P99" s="82">
        <f>125989.5+M99</f>
        <v>251979</v>
      </c>
      <c r="Q99" s="83">
        <f t="shared" si="16"/>
        <v>43.329622706654128</v>
      </c>
      <c r="R99" s="55"/>
      <c r="S99" s="58"/>
    </row>
    <row r="100" spans="1:19" x14ac:dyDescent="0.25">
      <c r="A100" s="54"/>
      <c r="B100" s="14"/>
      <c r="C100" s="55"/>
      <c r="D100" s="113" t="s">
        <v>410</v>
      </c>
      <c r="E100" s="80" t="s">
        <v>372</v>
      </c>
      <c r="F100" s="33">
        <v>115365.02</v>
      </c>
      <c r="G100" s="65">
        <f>1026442.42/12</f>
        <v>85536.868333333332</v>
      </c>
      <c r="H100" s="33">
        <v>185752.39</v>
      </c>
      <c r="I100" s="65">
        <f>1026442.42/12</f>
        <v>85536.868333333332</v>
      </c>
      <c r="J100" s="33"/>
      <c r="K100" s="65">
        <f>1026442.42/12</f>
        <v>85536.868333333332</v>
      </c>
      <c r="L100" s="66">
        <f t="shared" si="13"/>
        <v>301117.41000000003</v>
      </c>
      <c r="M100" s="33">
        <f t="shared" si="14"/>
        <v>256610.60499999998</v>
      </c>
      <c r="N100" s="67">
        <f t="shared" si="15"/>
        <v>117.34410197115591</v>
      </c>
      <c r="O100" s="66">
        <f>258928.93+L100</f>
        <v>560046.34000000008</v>
      </c>
      <c r="P100" s="82">
        <f>256610.61+M100</f>
        <v>513221.21499999997</v>
      </c>
      <c r="Q100" s="83">
        <f t="shared" si="16"/>
        <v>109.12377034141119</v>
      </c>
      <c r="R100" s="55"/>
      <c r="S100" s="58"/>
    </row>
    <row r="101" spans="1:19" x14ac:dyDescent="0.25">
      <c r="A101" s="54"/>
      <c r="B101" s="14"/>
      <c r="C101" s="55"/>
      <c r="D101" s="113" t="s">
        <v>411</v>
      </c>
      <c r="E101" s="80" t="s">
        <v>372</v>
      </c>
      <c r="F101" s="33">
        <v>251490.97</v>
      </c>
      <c r="G101" s="65">
        <f>2639906/12</f>
        <v>219992.16666666666</v>
      </c>
      <c r="H101" s="33">
        <v>243677.18</v>
      </c>
      <c r="I101" s="65">
        <f>2639906/12</f>
        <v>219992.16666666666</v>
      </c>
      <c r="J101" s="33"/>
      <c r="K101" s="65">
        <f>2639906/12</f>
        <v>219992.16666666666</v>
      </c>
      <c r="L101" s="66">
        <f t="shared" ref="L101:L132" si="17">+F101+H101+J101</f>
        <v>495168.15</v>
      </c>
      <c r="M101" s="33">
        <f t="shared" ref="M101:M132" si="18">+G101+I101+K101</f>
        <v>659976.5</v>
      </c>
      <c r="N101" s="67">
        <f t="shared" si="15"/>
        <v>75.028148729538103</v>
      </c>
      <c r="O101" s="66">
        <f>801359+L101</f>
        <v>1296527.1499999999</v>
      </c>
      <c r="P101" s="82">
        <f>659976.5+M101</f>
        <v>1319953</v>
      </c>
      <c r="Q101" s="83">
        <f t="shared" si="16"/>
        <v>98.225251202126131</v>
      </c>
      <c r="R101" s="55"/>
      <c r="S101" s="58"/>
    </row>
    <row r="102" spans="1:19" hidden="1" x14ac:dyDescent="0.25">
      <c r="A102" s="54"/>
      <c r="B102" s="14"/>
      <c r="C102" s="55"/>
      <c r="D102" s="113" t="s">
        <v>230</v>
      </c>
      <c r="E102" s="80" t="s">
        <v>327</v>
      </c>
      <c r="F102" s="33">
        <v>2405</v>
      </c>
      <c r="G102" s="65">
        <f>+I102</f>
        <v>4166.666666666667</v>
      </c>
      <c r="H102" s="33">
        <v>3454.49</v>
      </c>
      <c r="I102" s="65">
        <v>4166.666666666667</v>
      </c>
      <c r="J102" s="33">
        <v>0</v>
      </c>
      <c r="K102" s="81">
        <v>4166.666666666667</v>
      </c>
      <c r="L102" s="66">
        <f t="shared" si="17"/>
        <v>5859.49</v>
      </c>
      <c r="M102" s="33">
        <f t="shared" si="18"/>
        <v>12500</v>
      </c>
      <c r="N102" s="67">
        <f t="shared" si="15"/>
        <v>46.875920000000001</v>
      </c>
      <c r="O102" s="66">
        <f>5937.69+L102</f>
        <v>11797.18</v>
      </c>
      <c r="P102" s="82">
        <f>12500+M102</f>
        <v>25000</v>
      </c>
      <c r="Q102" s="83">
        <f t="shared" si="16"/>
        <v>47.188720000000004</v>
      </c>
      <c r="R102" s="55"/>
      <c r="S102" s="58"/>
    </row>
    <row r="103" spans="1:19" hidden="1" x14ac:dyDescent="0.25">
      <c r="A103" s="54"/>
      <c r="B103" s="14"/>
      <c r="C103" s="55"/>
      <c r="D103" s="113" t="s">
        <v>231</v>
      </c>
      <c r="E103" s="80" t="s">
        <v>328</v>
      </c>
      <c r="F103" s="33">
        <v>0</v>
      </c>
      <c r="G103" s="65">
        <f>+I103</f>
        <v>875</v>
      </c>
      <c r="H103" s="33">
        <v>0</v>
      </c>
      <c r="I103" s="65">
        <v>875</v>
      </c>
      <c r="J103" s="33">
        <v>0</v>
      </c>
      <c r="K103" s="81">
        <v>875</v>
      </c>
      <c r="L103" s="66">
        <f t="shared" si="17"/>
        <v>0</v>
      </c>
      <c r="M103" s="33">
        <f t="shared" si="18"/>
        <v>2625</v>
      </c>
      <c r="N103" s="67">
        <f t="shared" si="15"/>
        <v>0</v>
      </c>
      <c r="O103" s="66">
        <v>0</v>
      </c>
      <c r="P103" s="82">
        <f>2625+M103</f>
        <v>5250</v>
      </c>
      <c r="Q103" s="83">
        <f t="shared" si="16"/>
        <v>0</v>
      </c>
      <c r="R103" s="55"/>
      <c r="S103" s="58"/>
    </row>
    <row r="104" spans="1:19" hidden="1" x14ac:dyDescent="0.25">
      <c r="A104" s="54"/>
      <c r="B104" s="14"/>
      <c r="C104" s="55"/>
      <c r="D104" s="113" t="s">
        <v>232</v>
      </c>
      <c r="E104" s="80" t="s">
        <v>329</v>
      </c>
      <c r="F104" s="33">
        <v>0</v>
      </c>
      <c r="G104" s="65">
        <f>+I104</f>
        <v>791.66666666666663</v>
      </c>
      <c r="H104" s="33">
        <v>0</v>
      </c>
      <c r="I104" s="65">
        <v>791.66666666666663</v>
      </c>
      <c r="J104" s="33">
        <v>0</v>
      </c>
      <c r="K104" s="81">
        <v>791.66666666666663</v>
      </c>
      <c r="L104" s="66">
        <f t="shared" si="17"/>
        <v>0</v>
      </c>
      <c r="M104" s="33">
        <f t="shared" si="18"/>
        <v>2375</v>
      </c>
      <c r="N104" s="67">
        <f t="shared" si="15"/>
        <v>0</v>
      </c>
      <c r="O104" s="66">
        <v>0</v>
      </c>
      <c r="P104" s="82">
        <f>2375+M104</f>
        <v>4750</v>
      </c>
      <c r="Q104" s="83">
        <f t="shared" si="16"/>
        <v>0</v>
      </c>
      <c r="R104" s="55"/>
      <c r="S104" s="58"/>
    </row>
    <row r="105" spans="1:19" x14ac:dyDescent="0.25">
      <c r="A105" s="54"/>
      <c r="B105" s="14"/>
      <c r="C105" s="55"/>
      <c r="D105" s="113" t="s">
        <v>412</v>
      </c>
      <c r="E105" s="80" t="s">
        <v>372</v>
      </c>
      <c r="F105" s="33">
        <v>16925.419999999998</v>
      </c>
      <c r="G105" s="65">
        <f>220908/12</f>
        <v>18409</v>
      </c>
      <c r="H105" s="33">
        <v>16925.419999999998</v>
      </c>
      <c r="I105" s="65">
        <f>220908/12</f>
        <v>18409</v>
      </c>
      <c r="J105" s="33"/>
      <c r="K105" s="65">
        <f>220908/12</f>
        <v>18409</v>
      </c>
      <c r="L105" s="66">
        <f t="shared" si="17"/>
        <v>33850.839999999997</v>
      </c>
      <c r="M105" s="33">
        <f t="shared" si="18"/>
        <v>55227</v>
      </c>
      <c r="N105" s="67">
        <f t="shared" si="15"/>
        <v>61.294004744056338</v>
      </c>
      <c r="O105" s="66">
        <f>60527.69+L105</f>
        <v>94378.53</v>
      </c>
      <c r="P105" s="82">
        <f>55227+M105</f>
        <v>110454</v>
      </c>
      <c r="Q105" s="83">
        <f t="shared" si="16"/>
        <v>85.446004671628003</v>
      </c>
      <c r="R105" s="55"/>
      <c r="S105" s="58"/>
    </row>
    <row r="106" spans="1:19" x14ac:dyDescent="0.25">
      <c r="A106" s="54"/>
      <c r="B106" s="14"/>
      <c r="C106" s="55"/>
      <c r="D106" s="113" t="s">
        <v>413</v>
      </c>
      <c r="E106" s="80" t="s">
        <v>372</v>
      </c>
      <c r="F106" s="33">
        <v>61981.49</v>
      </c>
      <c r="G106" s="65">
        <f>656094/12</f>
        <v>54674.5</v>
      </c>
      <c r="H106" s="33">
        <v>53418.76</v>
      </c>
      <c r="I106" s="65">
        <f>656094/12</f>
        <v>54674.5</v>
      </c>
      <c r="J106" s="33"/>
      <c r="K106" s="65">
        <f>656094/12</f>
        <v>54674.5</v>
      </c>
      <c r="L106" s="66">
        <f t="shared" si="17"/>
        <v>115400.25</v>
      </c>
      <c r="M106" s="33">
        <f t="shared" si="18"/>
        <v>164023.5</v>
      </c>
      <c r="N106" s="67">
        <f t="shared" si="15"/>
        <v>70.355924608364035</v>
      </c>
      <c r="O106" s="66">
        <f>154926.94+L106</f>
        <v>270327.19</v>
      </c>
      <c r="P106" s="82">
        <f>164023.5+M106</f>
        <v>328047</v>
      </c>
      <c r="Q106" s="83">
        <f t="shared" si="16"/>
        <v>82.405018183370075</v>
      </c>
      <c r="R106" s="55"/>
      <c r="S106" s="58"/>
    </row>
    <row r="107" spans="1:19" hidden="1" x14ac:dyDescent="0.25">
      <c r="A107" s="54"/>
      <c r="B107" s="14"/>
      <c r="C107" s="55"/>
      <c r="D107" s="113" t="s">
        <v>55</v>
      </c>
      <c r="E107" s="80" t="s">
        <v>330</v>
      </c>
      <c r="F107" s="33">
        <v>0</v>
      </c>
      <c r="G107" s="65">
        <f>50000/12</f>
        <v>4166.666666666667</v>
      </c>
      <c r="H107" s="33">
        <v>0</v>
      </c>
      <c r="I107" s="65">
        <f>50000/12</f>
        <v>4166.666666666667</v>
      </c>
      <c r="J107" s="33">
        <v>0</v>
      </c>
      <c r="K107" s="65">
        <f>50000/12</f>
        <v>4166.666666666667</v>
      </c>
      <c r="L107" s="66">
        <f t="shared" si="17"/>
        <v>0</v>
      </c>
      <c r="M107" s="33">
        <f t="shared" si="18"/>
        <v>12500</v>
      </c>
      <c r="N107" s="67">
        <f t="shared" si="15"/>
        <v>0</v>
      </c>
      <c r="O107" s="66">
        <v>0</v>
      </c>
      <c r="P107" s="82">
        <f>12500+M107</f>
        <v>25000</v>
      </c>
      <c r="Q107" s="83">
        <f t="shared" si="16"/>
        <v>0</v>
      </c>
      <c r="R107" s="55"/>
      <c r="S107" s="58"/>
    </row>
    <row r="108" spans="1:19" hidden="1" x14ac:dyDescent="0.25">
      <c r="A108" s="54"/>
      <c r="B108" s="14"/>
      <c r="C108" s="55"/>
      <c r="D108" s="113" t="s">
        <v>69</v>
      </c>
      <c r="E108" s="80" t="s">
        <v>331</v>
      </c>
      <c r="F108" s="33">
        <v>0</v>
      </c>
      <c r="G108" s="65">
        <f>+I108</f>
        <v>100</v>
      </c>
      <c r="H108" s="33">
        <v>0</v>
      </c>
      <c r="I108" s="65">
        <v>100</v>
      </c>
      <c r="J108" s="33">
        <v>0</v>
      </c>
      <c r="K108" s="81">
        <v>100</v>
      </c>
      <c r="L108" s="66">
        <f t="shared" si="17"/>
        <v>0</v>
      </c>
      <c r="M108" s="33">
        <f t="shared" si="18"/>
        <v>300</v>
      </c>
      <c r="N108" s="67">
        <f t="shared" si="15"/>
        <v>0</v>
      </c>
      <c r="O108" s="66">
        <v>0</v>
      </c>
      <c r="P108" s="82">
        <f>300+M108</f>
        <v>600</v>
      </c>
      <c r="Q108" s="83">
        <f t="shared" si="16"/>
        <v>0</v>
      </c>
      <c r="R108" s="55"/>
      <c r="S108" s="58"/>
    </row>
    <row r="109" spans="1:19" x14ac:dyDescent="0.25">
      <c r="A109" s="54"/>
      <c r="B109" s="14"/>
      <c r="C109" s="55"/>
      <c r="D109" s="113" t="s">
        <v>414</v>
      </c>
      <c r="E109" s="80" t="s">
        <v>372</v>
      </c>
      <c r="F109" s="33">
        <v>17044.62</v>
      </c>
      <c r="G109" s="65">
        <f>340432/12</f>
        <v>28369.333333333332</v>
      </c>
      <c r="H109" s="33">
        <v>18128.66</v>
      </c>
      <c r="I109" s="65">
        <f>340432/12</f>
        <v>28369.333333333332</v>
      </c>
      <c r="J109" s="33"/>
      <c r="K109" s="65">
        <f>340432/12</f>
        <v>28369.333333333332</v>
      </c>
      <c r="L109" s="66">
        <f t="shared" si="17"/>
        <v>35173.279999999999</v>
      </c>
      <c r="M109" s="33">
        <f t="shared" si="18"/>
        <v>85108</v>
      </c>
      <c r="N109" s="67">
        <f t="shared" si="15"/>
        <v>41.32781877144334</v>
      </c>
      <c r="O109" s="66">
        <f>51331.73+L109</f>
        <v>86505.010000000009</v>
      </c>
      <c r="P109" s="82">
        <f>85108+M109</f>
        <v>170216</v>
      </c>
      <c r="Q109" s="83">
        <f t="shared" si="16"/>
        <v>50.82072778117216</v>
      </c>
      <c r="R109" s="55"/>
      <c r="S109" s="58"/>
    </row>
    <row r="110" spans="1:19" hidden="1" x14ac:dyDescent="0.25">
      <c r="A110" s="54"/>
      <c r="B110" s="14"/>
      <c r="C110" s="55"/>
      <c r="D110" s="113" t="s">
        <v>233</v>
      </c>
      <c r="E110" s="80" t="s">
        <v>332</v>
      </c>
      <c r="F110" s="33">
        <v>0</v>
      </c>
      <c r="G110" s="65">
        <f>16300/12</f>
        <v>1358.3333333333333</v>
      </c>
      <c r="H110" s="33">
        <v>0</v>
      </c>
      <c r="I110" s="65">
        <v>1358.3333333333333</v>
      </c>
      <c r="J110" s="33">
        <v>0</v>
      </c>
      <c r="K110" s="81">
        <v>1358.3333333333333</v>
      </c>
      <c r="L110" s="66">
        <f t="shared" si="17"/>
        <v>0</v>
      </c>
      <c r="M110" s="33">
        <f t="shared" si="18"/>
        <v>4075</v>
      </c>
      <c r="N110" s="67">
        <f t="shared" si="15"/>
        <v>0</v>
      </c>
      <c r="O110" s="66">
        <v>0</v>
      </c>
      <c r="P110" s="82">
        <f>4075+M110</f>
        <v>8150</v>
      </c>
      <c r="Q110" s="83">
        <f t="shared" si="16"/>
        <v>0</v>
      </c>
      <c r="R110" s="55"/>
      <c r="S110" s="58"/>
    </row>
    <row r="111" spans="1:19" x14ac:dyDescent="0.25">
      <c r="A111" s="54"/>
      <c r="B111" s="14"/>
      <c r="C111" s="55"/>
      <c r="D111" s="113" t="s">
        <v>415</v>
      </c>
      <c r="E111" s="80" t="s">
        <v>372</v>
      </c>
      <c r="F111" s="33">
        <v>21956.42</v>
      </c>
      <c r="G111" s="65">
        <f>206600/12</f>
        <v>17216.666666666668</v>
      </c>
      <c r="H111" s="33">
        <v>14220.38</v>
      </c>
      <c r="I111" s="65">
        <f>206600/12</f>
        <v>17216.666666666668</v>
      </c>
      <c r="J111" s="33"/>
      <c r="K111" s="65">
        <f>206600/12</f>
        <v>17216.666666666668</v>
      </c>
      <c r="L111" s="66">
        <f t="shared" si="17"/>
        <v>36176.799999999996</v>
      </c>
      <c r="M111" s="33">
        <f t="shared" si="18"/>
        <v>51650</v>
      </c>
      <c r="N111" s="67">
        <f t="shared" si="15"/>
        <v>70.042207163601162</v>
      </c>
      <c r="O111" s="66">
        <f>38927.14+L111</f>
        <v>75103.94</v>
      </c>
      <c r="P111" s="82">
        <f>51650+M111</f>
        <v>103300</v>
      </c>
      <c r="Q111" s="83">
        <f t="shared" si="16"/>
        <v>72.704685382381413</v>
      </c>
      <c r="R111" s="55"/>
      <c r="S111" s="58"/>
    </row>
    <row r="112" spans="1:19" x14ac:dyDescent="0.25">
      <c r="A112" s="54"/>
      <c r="B112" s="14"/>
      <c r="C112" s="55"/>
      <c r="D112" s="113" t="s">
        <v>416</v>
      </c>
      <c r="E112" s="80" t="s">
        <v>372</v>
      </c>
      <c r="F112" s="33">
        <v>32653.040000000001</v>
      </c>
      <c r="G112" s="65">
        <f>393238/12</f>
        <v>32769.833333333336</v>
      </c>
      <c r="H112" s="33">
        <v>30173.040000000001</v>
      </c>
      <c r="I112" s="65">
        <f>393238/12</f>
        <v>32769.833333333336</v>
      </c>
      <c r="J112" s="33"/>
      <c r="K112" s="65">
        <f>393238/12</f>
        <v>32769.833333333336</v>
      </c>
      <c r="L112" s="66">
        <f t="shared" si="17"/>
        <v>62826.080000000002</v>
      </c>
      <c r="M112" s="33">
        <f t="shared" si="18"/>
        <v>98309.5</v>
      </c>
      <c r="N112" s="67">
        <f t="shared" si="15"/>
        <v>63.906417996226203</v>
      </c>
      <c r="O112" s="66">
        <f>110553.26+L112</f>
        <v>173379.34</v>
      </c>
      <c r="P112" s="82">
        <f>51650+M112</f>
        <v>149959.5</v>
      </c>
      <c r="Q112" s="83">
        <f t="shared" si="16"/>
        <v>115.61744337637829</v>
      </c>
      <c r="R112" s="55"/>
      <c r="S112" s="58"/>
    </row>
    <row r="113" spans="1:19" hidden="1" x14ac:dyDescent="0.25">
      <c r="A113" s="54"/>
      <c r="B113" s="14"/>
      <c r="C113" s="55"/>
      <c r="D113" s="113" t="s">
        <v>56</v>
      </c>
      <c r="E113" s="80" t="s">
        <v>333</v>
      </c>
      <c r="F113" s="33">
        <v>0</v>
      </c>
      <c r="G113" s="65">
        <f>8640/12</f>
        <v>720</v>
      </c>
      <c r="H113" s="33">
        <v>0</v>
      </c>
      <c r="I113" s="65">
        <v>720</v>
      </c>
      <c r="J113" s="33">
        <v>0</v>
      </c>
      <c r="K113" s="81">
        <v>720</v>
      </c>
      <c r="L113" s="66">
        <f t="shared" si="17"/>
        <v>0</v>
      </c>
      <c r="M113" s="33">
        <f t="shared" si="18"/>
        <v>2160</v>
      </c>
      <c r="N113" s="67">
        <f t="shared" si="15"/>
        <v>0</v>
      </c>
      <c r="O113" s="66">
        <v>0</v>
      </c>
      <c r="P113" s="82">
        <f>2160+M113</f>
        <v>4320</v>
      </c>
      <c r="Q113" s="83">
        <f t="shared" si="16"/>
        <v>0</v>
      </c>
      <c r="R113" s="55"/>
      <c r="S113" s="58"/>
    </row>
    <row r="114" spans="1:19" hidden="1" x14ac:dyDescent="0.25">
      <c r="A114" s="54"/>
      <c r="B114" s="14"/>
      <c r="C114" s="55"/>
      <c r="D114" s="113" t="s">
        <v>57</v>
      </c>
      <c r="E114" s="80" t="s">
        <v>334</v>
      </c>
      <c r="F114" s="33">
        <v>0</v>
      </c>
      <c r="G114" s="65">
        <f>+I114</f>
        <v>700</v>
      </c>
      <c r="H114" s="65">
        <v>0</v>
      </c>
      <c r="I114" s="65">
        <v>700</v>
      </c>
      <c r="J114" s="65">
        <v>0</v>
      </c>
      <c r="K114" s="81">
        <v>700</v>
      </c>
      <c r="L114" s="66">
        <f t="shared" si="17"/>
        <v>0</v>
      </c>
      <c r="M114" s="33">
        <f t="shared" si="18"/>
        <v>2100</v>
      </c>
      <c r="N114" s="67">
        <f t="shared" si="15"/>
        <v>0</v>
      </c>
      <c r="O114" s="66">
        <v>7805.9299999999994</v>
      </c>
      <c r="P114" s="82">
        <f>2100+M114</f>
        <v>4200</v>
      </c>
      <c r="Q114" s="83">
        <f t="shared" si="16"/>
        <v>185.85547619047617</v>
      </c>
      <c r="R114" s="55"/>
      <c r="S114" s="58"/>
    </row>
    <row r="115" spans="1:19" hidden="1" x14ac:dyDescent="0.25">
      <c r="A115" s="54"/>
      <c r="B115" s="14"/>
      <c r="C115" s="55"/>
      <c r="D115" s="113" t="s">
        <v>59</v>
      </c>
      <c r="E115" s="80" t="s">
        <v>335</v>
      </c>
      <c r="F115" s="33">
        <v>0</v>
      </c>
      <c r="G115" s="65">
        <f>+I115</f>
        <v>5083.333333333333</v>
      </c>
      <c r="H115" s="65">
        <v>0</v>
      </c>
      <c r="I115" s="65">
        <v>5083.333333333333</v>
      </c>
      <c r="J115" s="65">
        <v>0</v>
      </c>
      <c r="K115" s="81">
        <v>5083.333333333333</v>
      </c>
      <c r="L115" s="66">
        <f t="shared" si="17"/>
        <v>0</v>
      </c>
      <c r="M115" s="33">
        <f t="shared" si="18"/>
        <v>15250</v>
      </c>
      <c r="N115" s="67">
        <f t="shared" si="15"/>
        <v>0</v>
      </c>
      <c r="O115" s="66">
        <v>0</v>
      </c>
      <c r="P115" s="82">
        <f>15250+M115</f>
        <v>30500</v>
      </c>
      <c r="Q115" s="83">
        <f t="shared" si="16"/>
        <v>0</v>
      </c>
      <c r="R115" s="55"/>
      <c r="S115" s="58"/>
    </row>
    <row r="116" spans="1:19" x14ac:dyDescent="0.25">
      <c r="A116" s="54"/>
      <c r="B116" s="14"/>
      <c r="C116" s="55"/>
      <c r="D116" s="113" t="s">
        <v>417</v>
      </c>
      <c r="E116" s="80" t="s">
        <v>372</v>
      </c>
      <c r="F116" s="33">
        <v>55003.53</v>
      </c>
      <c r="G116" s="65">
        <f>810536/12</f>
        <v>67544.666666666672</v>
      </c>
      <c r="H116" s="65">
        <v>51054.9</v>
      </c>
      <c r="I116" s="65">
        <f>810536/12</f>
        <v>67544.666666666672</v>
      </c>
      <c r="J116" s="65"/>
      <c r="K116" s="65">
        <f>810536/12</f>
        <v>67544.666666666672</v>
      </c>
      <c r="L116" s="66">
        <f t="shared" si="17"/>
        <v>106058.43</v>
      </c>
      <c r="M116" s="33">
        <f t="shared" si="18"/>
        <v>202634</v>
      </c>
      <c r="N116" s="67">
        <f t="shared" si="15"/>
        <v>52.339898536277232</v>
      </c>
      <c r="O116" s="66">
        <f>164016.24+L116</f>
        <v>270074.67</v>
      </c>
      <c r="P116" s="82">
        <f>202634+M116</f>
        <v>405268</v>
      </c>
      <c r="Q116" s="83">
        <f t="shared" si="16"/>
        <v>66.641005458116595</v>
      </c>
      <c r="R116" s="55"/>
      <c r="S116" s="58"/>
    </row>
    <row r="117" spans="1:19" x14ac:dyDescent="0.25">
      <c r="A117" s="54"/>
      <c r="B117" s="14"/>
      <c r="C117" s="55"/>
      <c r="D117" s="113" t="s">
        <v>418</v>
      </c>
      <c r="E117" s="80" t="s">
        <v>372</v>
      </c>
      <c r="F117" s="33">
        <v>70338.53</v>
      </c>
      <c r="G117" s="65">
        <f>1030478/12</f>
        <v>85873.166666666672</v>
      </c>
      <c r="H117" s="65">
        <v>71156.39</v>
      </c>
      <c r="I117" s="65">
        <f>1030478/12</f>
        <v>85873.166666666672</v>
      </c>
      <c r="J117" s="65"/>
      <c r="K117" s="65">
        <f>1030478/12</f>
        <v>85873.166666666672</v>
      </c>
      <c r="L117" s="66">
        <f t="shared" si="17"/>
        <v>141494.91999999998</v>
      </c>
      <c r="M117" s="33">
        <f t="shared" si="18"/>
        <v>257619.5</v>
      </c>
      <c r="N117" s="67">
        <f t="shared" si="15"/>
        <v>54.923994495758279</v>
      </c>
      <c r="O117" s="66">
        <f>221489.26+L117</f>
        <v>362984.18</v>
      </c>
      <c r="P117" s="82">
        <f>257619.5+M117</f>
        <v>515239</v>
      </c>
      <c r="Q117" s="83">
        <f t="shared" si="16"/>
        <v>70.449670929413344</v>
      </c>
      <c r="R117" s="55"/>
      <c r="S117" s="58"/>
    </row>
    <row r="118" spans="1:19" hidden="1" x14ac:dyDescent="0.25">
      <c r="A118" s="54"/>
      <c r="B118" s="14"/>
      <c r="C118" s="55"/>
      <c r="D118" s="113" t="s">
        <v>59</v>
      </c>
      <c r="E118" s="80" t="s">
        <v>335</v>
      </c>
      <c r="F118" s="33">
        <v>0</v>
      </c>
      <c r="G118" s="65">
        <f>61000/12</f>
        <v>5083.333333333333</v>
      </c>
      <c r="H118" s="65">
        <v>0</v>
      </c>
      <c r="I118" s="65">
        <f>61000/12</f>
        <v>5083.333333333333</v>
      </c>
      <c r="J118" s="65">
        <v>0</v>
      </c>
      <c r="K118" s="65">
        <f>61000/12</f>
        <v>5083.333333333333</v>
      </c>
      <c r="L118" s="66">
        <f t="shared" si="17"/>
        <v>0</v>
      </c>
      <c r="M118" s="33">
        <f t="shared" si="18"/>
        <v>15250</v>
      </c>
      <c r="N118" s="67">
        <f t="shared" si="15"/>
        <v>0</v>
      </c>
      <c r="O118" s="66">
        <v>0</v>
      </c>
      <c r="P118" s="82">
        <f>15250+M118</f>
        <v>30500</v>
      </c>
      <c r="Q118" s="83">
        <f t="shared" si="16"/>
        <v>0</v>
      </c>
      <c r="R118" s="55"/>
      <c r="S118" s="58"/>
    </row>
    <row r="119" spans="1:19" hidden="1" x14ac:dyDescent="0.25">
      <c r="A119" s="54"/>
      <c r="B119" s="14"/>
      <c r="C119" s="55"/>
      <c r="D119" s="113" t="s">
        <v>60</v>
      </c>
      <c r="E119" s="80" t="s">
        <v>336</v>
      </c>
      <c r="F119" s="33">
        <v>0</v>
      </c>
      <c r="G119" s="65">
        <f>15000/12</f>
        <v>1250</v>
      </c>
      <c r="H119" s="65">
        <v>0</v>
      </c>
      <c r="I119" s="65">
        <v>1250</v>
      </c>
      <c r="J119" s="65">
        <v>0</v>
      </c>
      <c r="K119" s="81">
        <v>1250</v>
      </c>
      <c r="L119" s="66">
        <f t="shared" si="17"/>
        <v>0</v>
      </c>
      <c r="M119" s="33">
        <f t="shared" si="18"/>
        <v>3750</v>
      </c>
      <c r="N119" s="67">
        <f t="shared" si="15"/>
        <v>0</v>
      </c>
      <c r="O119" s="66">
        <v>0</v>
      </c>
      <c r="P119" s="82">
        <f>3750+M119</f>
        <v>7500</v>
      </c>
      <c r="Q119" s="83">
        <f t="shared" si="16"/>
        <v>0</v>
      </c>
      <c r="R119" s="55"/>
      <c r="S119" s="58"/>
    </row>
    <row r="120" spans="1:19" hidden="1" x14ac:dyDescent="0.25">
      <c r="A120" s="54"/>
      <c r="B120" s="14"/>
      <c r="C120" s="55"/>
      <c r="D120" s="113" t="s">
        <v>61</v>
      </c>
      <c r="E120" s="80" t="s">
        <v>337</v>
      </c>
      <c r="F120" s="33">
        <v>0</v>
      </c>
      <c r="G120" s="65">
        <f>3920.8/12</f>
        <v>326.73333333333335</v>
      </c>
      <c r="H120" s="33">
        <v>3920.8</v>
      </c>
      <c r="I120" s="65">
        <f>3920.8/12</f>
        <v>326.73333333333335</v>
      </c>
      <c r="J120" s="33">
        <v>0</v>
      </c>
      <c r="K120" s="65">
        <f>3920.8/12</f>
        <v>326.73333333333335</v>
      </c>
      <c r="L120" s="66">
        <f t="shared" si="17"/>
        <v>3920.8</v>
      </c>
      <c r="M120" s="33">
        <f t="shared" si="18"/>
        <v>980.2</v>
      </c>
      <c r="N120" s="67">
        <f t="shared" si="15"/>
        <v>400</v>
      </c>
      <c r="O120" s="66">
        <f>0+L120</f>
        <v>3920.8</v>
      </c>
      <c r="P120" s="82">
        <f>980.2+M120</f>
        <v>1960.4</v>
      </c>
      <c r="Q120" s="83">
        <f t="shared" si="16"/>
        <v>200</v>
      </c>
      <c r="R120" s="55"/>
      <c r="S120" s="58"/>
    </row>
    <row r="121" spans="1:19" hidden="1" x14ac:dyDescent="0.25">
      <c r="A121" s="54"/>
      <c r="B121" s="14"/>
      <c r="C121" s="55"/>
      <c r="D121" s="113" t="s">
        <v>62</v>
      </c>
      <c r="E121" s="80" t="s">
        <v>338</v>
      </c>
      <c r="F121" s="33">
        <v>0</v>
      </c>
      <c r="G121" s="65">
        <f>+I121</f>
        <v>1350</v>
      </c>
      <c r="H121" s="33">
        <v>0</v>
      </c>
      <c r="I121" s="65">
        <v>1350</v>
      </c>
      <c r="J121" s="33">
        <v>0</v>
      </c>
      <c r="K121" s="81">
        <v>1350</v>
      </c>
      <c r="L121" s="66">
        <f t="shared" si="17"/>
        <v>0</v>
      </c>
      <c r="M121" s="33">
        <f t="shared" si="18"/>
        <v>4050</v>
      </c>
      <c r="N121" s="67">
        <f t="shared" si="15"/>
        <v>0</v>
      </c>
      <c r="O121" s="66">
        <v>0</v>
      </c>
      <c r="P121" s="82">
        <f>4050+M121</f>
        <v>8100</v>
      </c>
      <c r="Q121" s="83">
        <f t="shared" si="16"/>
        <v>0</v>
      </c>
      <c r="R121" s="55"/>
      <c r="S121" s="58"/>
    </row>
    <row r="122" spans="1:19" x14ac:dyDescent="0.25">
      <c r="A122" s="54"/>
      <c r="B122" s="14"/>
      <c r="C122" s="55"/>
      <c r="D122" s="113" t="s">
        <v>419</v>
      </c>
      <c r="E122" s="80" t="s">
        <v>372</v>
      </c>
      <c r="F122" s="33">
        <v>109953.76</v>
      </c>
      <c r="G122" s="65">
        <f>1468200/12</f>
        <v>122350</v>
      </c>
      <c r="H122" s="33">
        <v>110185.65</v>
      </c>
      <c r="I122" s="65">
        <f>1468200/12</f>
        <v>122350</v>
      </c>
      <c r="J122" s="33">
        <v>0</v>
      </c>
      <c r="K122" s="65">
        <f>1468200/12</f>
        <v>122350</v>
      </c>
      <c r="L122" s="66">
        <f t="shared" si="17"/>
        <v>220139.40999999997</v>
      </c>
      <c r="M122" s="33">
        <f t="shared" si="18"/>
        <v>367050</v>
      </c>
      <c r="N122" s="67">
        <f t="shared" si="15"/>
        <v>59.975319438768551</v>
      </c>
      <c r="O122" s="66">
        <f>371656.14+L122</f>
        <v>591795.55000000005</v>
      </c>
      <c r="P122" s="82">
        <f>367050+M122</f>
        <v>734100</v>
      </c>
      <c r="Q122" s="83">
        <f t="shared" si="16"/>
        <v>80.615113744721441</v>
      </c>
      <c r="R122" s="55"/>
      <c r="S122" s="58"/>
    </row>
    <row r="123" spans="1:19" x14ac:dyDescent="0.25">
      <c r="A123" s="54"/>
      <c r="B123" s="14"/>
      <c r="C123" s="55"/>
      <c r="D123" s="113" t="s">
        <v>420</v>
      </c>
      <c r="E123" s="80" t="s">
        <v>372</v>
      </c>
      <c r="F123" s="33">
        <v>54291.91</v>
      </c>
      <c r="G123" s="65">
        <f>726052/12</f>
        <v>60504.333333333336</v>
      </c>
      <c r="H123" s="33">
        <v>77693.91</v>
      </c>
      <c r="I123" s="65">
        <f>726052/12</f>
        <v>60504.333333333336</v>
      </c>
      <c r="J123" s="33">
        <v>0</v>
      </c>
      <c r="K123" s="65">
        <f>726052/12</f>
        <v>60504.333333333336</v>
      </c>
      <c r="L123" s="66">
        <f t="shared" si="17"/>
        <v>131985.82</v>
      </c>
      <c r="M123" s="33">
        <f t="shared" si="18"/>
        <v>181513</v>
      </c>
      <c r="N123" s="67">
        <f t="shared" ref="N123:N133" si="19">+L123/M123*100</f>
        <v>72.714251871766763</v>
      </c>
      <c r="O123" s="66">
        <f>196004.23+L123</f>
        <v>327990.05000000005</v>
      </c>
      <c r="P123" s="82">
        <f>181513+M123</f>
        <v>363026</v>
      </c>
      <c r="Q123" s="83">
        <f t="shared" ref="Q123:Q133" si="20">O123/P123*100</f>
        <v>90.348914402825159</v>
      </c>
      <c r="R123" s="55"/>
      <c r="S123" s="58"/>
    </row>
    <row r="124" spans="1:19" x14ac:dyDescent="0.25">
      <c r="A124" s="54"/>
      <c r="B124" s="14"/>
      <c r="C124" s="55"/>
      <c r="D124" s="113" t="s">
        <v>421</v>
      </c>
      <c r="E124" s="80" t="s">
        <v>372</v>
      </c>
      <c r="F124" s="33">
        <v>13284</v>
      </c>
      <c r="G124" s="65">
        <f>175900/12</f>
        <v>14658.333333333334</v>
      </c>
      <c r="H124" s="33">
        <v>13284</v>
      </c>
      <c r="I124" s="65">
        <f>175900/12</f>
        <v>14658.333333333334</v>
      </c>
      <c r="J124" s="33">
        <v>0</v>
      </c>
      <c r="K124" s="65">
        <f>175900/12</f>
        <v>14658.333333333334</v>
      </c>
      <c r="L124" s="66">
        <f t="shared" si="17"/>
        <v>26568</v>
      </c>
      <c r="M124" s="33">
        <f t="shared" si="18"/>
        <v>43975</v>
      </c>
      <c r="N124" s="67">
        <f t="shared" si="19"/>
        <v>60.416145537237064</v>
      </c>
      <c r="O124" s="66">
        <f>33690.24+L124</f>
        <v>60258.239999999998</v>
      </c>
      <c r="P124" s="82">
        <f>43975+M124</f>
        <v>87950</v>
      </c>
      <c r="Q124" s="83">
        <f t="shared" si="20"/>
        <v>68.514201250710627</v>
      </c>
      <c r="R124" s="55"/>
      <c r="S124" s="58"/>
    </row>
    <row r="125" spans="1:19" x14ac:dyDescent="0.25">
      <c r="A125" s="54"/>
      <c r="B125" s="14"/>
      <c r="C125" s="55"/>
      <c r="D125" s="113" t="s">
        <v>422</v>
      </c>
      <c r="E125" s="80" t="s">
        <v>372</v>
      </c>
      <c r="F125" s="33">
        <v>317328.13</v>
      </c>
      <c r="G125" s="65">
        <f>3938442/12</f>
        <v>328203.5</v>
      </c>
      <c r="H125" s="33">
        <v>329047.49</v>
      </c>
      <c r="I125" s="65">
        <f>3938442/12</f>
        <v>328203.5</v>
      </c>
      <c r="J125" s="33">
        <v>0</v>
      </c>
      <c r="K125" s="65">
        <f>3938442/12</f>
        <v>328203.5</v>
      </c>
      <c r="L125" s="66">
        <f t="shared" si="17"/>
        <v>646375.62</v>
      </c>
      <c r="M125" s="33">
        <f t="shared" si="18"/>
        <v>984610.5</v>
      </c>
      <c r="N125" s="67">
        <f t="shared" si="19"/>
        <v>65.647849581128781</v>
      </c>
      <c r="O125" s="66">
        <f>996155.94+L125</f>
        <v>1642531.56</v>
      </c>
      <c r="P125" s="82">
        <f>984610.5+M125</f>
        <v>1969221</v>
      </c>
      <c r="Q125" s="83">
        <f t="shared" si="20"/>
        <v>83.410219574136164</v>
      </c>
      <c r="R125" s="55"/>
      <c r="S125" s="58"/>
    </row>
    <row r="126" spans="1:19" x14ac:dyDescent="0.25">
      <c r="A126" s="54"/>
      <c r="B126" s="14"/>
      <c r="C126" s="55"/>
      <c r="D126" s="113" t="s">
        <v>423</v>
      </c>
      <c r="E126" s="80" t="s">
        <v>372</v>
      </c>
      <c r="F126" s="33">
        <v>26104.32</v>
      </c>
      <c r="G126" s="65">
        <f>220100/12</f>
        <v>18341.666666666668</v>
      </c>
      <c r="H126" s="33">
        <v>28667.5</v>
      </c>
      <c r="I126" s="65">
        <f>220100/12</f>
        <v>18341.666666666668</v>
      </c>
      <c r="J126" s="33"/>
      <c r="K126" s="65">
        <f>220100/12</f>
        <v>18341.666666666668</v>
      </c>
      <c r="L126" s="66">
        <f t="shared" si="17"/>
        <v>54771.82</v>
      </c>
      <c r="M126" s="33">
        <f t="shared" si="18"/>
        <v>55025</v>
      </c>
      <c r="N126" s="67">
        <f t="shared" si="19"/>
        <v>99.539881871876418</v>
      </c>
      <c r="O126" s="66">
        <f>66944.63+L126</f>
        <v>121716.45000000001</v>
      </c>
      <c r="P126" s="82">
        <f>55025+M126</f>
        <v>110050</v>
      </c>
      <c r="Q126" s="83">
        <f t="shared" si="20"/>
        <v>110.60104497955476</v>
      </c>
      <c r="R126" s="55"/>
      <c r="S126" s="58"/>
    </row>
    <row r="127" spans="1:19" x14ac:dyDescent="0.25">
      <c r="A127" s="54"/>
      <c r="B127" s="14"/>
      <c r="C127" s="55"/>
      <c r="D127" s="113" t="s">
        <v>424</v>
      </c>
      <c r="E127" s="80" t="s">
        <v>372</v>
      </c>
      <c r="F127" s="33">
        <v>0</v>
      </c>
      <c r="G127" s="65">
        <f>185400/12</f>
        <v>15450</v>
      </c>
      <c r="H127" s="33">
        <v>0</v>
      </c>
      <c r="I127" s="65">
        <f>185400/12</f>
        <v>15450</v>
      </c>
      <c r="J127" s="33">
        <v>0</v>
      </c>
      <c r="K127" s="65">
        <f>185400/12</f>
        <v>15450</v>
      </c>
      <c r="L127" s="66">
        <f t="shared" si="17"/>
        <v>0</v>
      </c>
      <c r="M127" s="33">
        <f t="shared" si="18"/>
        <v>46350</v>
      </c>
      <c r="N127" s="67">
        <f t="shared" si="19"/>
        <v>0</v>
      </c>
      <c r="O127" s="66">
        <v>0</v>
      </c>
      <c r="P127" s="82">
        <f>46350+M127</f>
        <v>92700</v>
      </c>
      <c r="Q127" s="83">
        <f t="shared" si="20"/>
        <v>0</v>
      </c>
      <c r="R127" s="55"/>
      <c r="S127" s="58"/>
    </row>
    <row r="128" spans="1:19" x14ac:dyDescent="0.25">
      <c r="A128" s="54"/>
      <c r="B128" s="14"/>
      <c r="C128" s="55"/>
      <c r="D128" s="113" t="s">
        <v>425</v>
      </c>
      <c r="E128" s="80" t="s">
        <v>372</v>
      </c>
      <c r="F128" s="33">
        <v>107765.82</v>
      </c>
      <c r="G128" s="65">
        <f>989120/12</f>
        <v>82426.666666666672</v>
      </c>
      <c r="H128" s="33">
        <v>89086.89</v>
      </c>
      <c r="I128" s="65">
        <f>989120/12</f>
        <v>82426.666666666672</v>
      </c>
      <c r="J128" s="33"/>
      <c r="K128" s="65">
        <f>989120/12</f>
        <v>82426.666666666672</v>
      </c>
      <c r="L128" s="66">
        <f t="shared" si="17"/>
        <v>196852.71000000002</v>
      </c>
      <c r="M128" s="33">
        <f t="shared" si="18"/>
        <v>247280</v>
      </c>
      <c r="N128" s="67">
        <f t="shared" si="19"/>
        <v>79.607210449692673</v>
      </c>
      <c r="O128" s="66">
        <f>239607.26+L128</f>
        <v>436459.97000000003</v>
      </c>
      <c r="P128" s="82">
        <f>247280+M128</f>
        <v>494560</v>
      </c>
      <c r="Q128" s="83">
        <f t="shared" si="20"/>
        <v>88.252177693303153</v>
      </c>
      <c r="R128" s="55"/>
      <c r="S128" s="58"/>
    </row>
    <row r="129" spans="1:19" x14ac:dyDescent="0.25">
      <c r="A129" s="54"/>
      <c r="B129" s="14"/>
      <c r="C129" s="55"/>
      <c r="D129" s="113" t="s">
        <v>426</v>
      </c>
      <c r="E129" s="80" t="s">
        <v>372</v>
      </c>
      <c r="F129" s="33">
        <v>147978.49</v>
      </c>
      <c r="G129" s="65">
        <f>1483451.2/12</f>
        <v>123620.93333333333</v>
      </c>
      <c r="H129" s="33">
        <v>121919.39</v>
      </c>
      <c r="I129" s="65">
        <f>1483451.2/12</f>
        <v>123620.93333333333</v>
      </c>
      <c r="J129" s="33"/>
      <c r="K129" s="65">
        <f>1483451.2/12</f>
        <v>123620.93333333333</v>
      </c>
      <c r="L129" s="66">
        <f t="shared" si="17"/>
        <v>269897.88</v>
      </c>
      <c r="M129" s="33">
        <f t="shared" si="18"/>
        <v>370862.8</v>
      </c>
      <c r="N129" s="67">
        <f t="shared" si="19"/>
        <v>72.775667982876683</v>
      </c>
      <c r="O129" s="66">
        <f>378327.58+L129</f>
        <v>648225.46</v>
      </c>
      <c r="P129" s="82">
        <f>370862.8+M129</f>
        <v>741725.6</v>
      </c>
      <c r="Q129" s="83">
        <f t="shared" si="20"/>
        <v>87.394241212653299</v>
      </c>
      <c r="R129" s="55"/>
      <c r="S129" s="58"/>
    </row>
    <row r="130" spans="1:19" x14ac:dyDescent="0.25">
      <c r="A130" s="54"/>
      <c r="B130" s="14"/>
      <c r="C130" s="55"/>
      <c r="D130" s="113" t="s">
        <v>427</v>
      </c>
      <c r="E130" s="80" t="s">
        <v>372</v>
      </c>
      <c r="F130" s="33">
        <v>40819.800000000003</v>
      </c>
      <c r="G130" s="65">
        <f>575038/12</f>
        <v>47919.833333333336</v>
      </c>
      <c r="H130" s="33">
        <v>42931.06</v>
      </c>
      <c r="I130" s="65">
        <f>575038/12</f>
        <v>47919.833333333336</v>
      </c>
      <c r="J130" s="33"/>
      <c r="K130" s="65">
        <f>575038/12</f>
        <v>47919.833333333336</v>
      </c>
      <c r="L130" s="66">
        <f t="shared" si="17"/>
        <v>83750.86</v>
      </c>
      <c r="M130" s="33">
        <f t="shared" si="18"/>
        <v>143759.5</v>
      </c>
      <c r="N130" s="67">
        <f t="shared" si="19"/>
        <v>58.257617757435163</v>
      </c>
      <c r="O130" s="66">
        <f>140088.73+L130</f>
        <v>223839.59000000003</v>
      </c>
      <c r="P130" s="82">
        <f>143759.5+M130</f>
        <v>287519</v>
      </c>
      <c r="Q130" s="83">
        <f t="shared" si="20"/>
        <v>77.852103687060691</v>
      </c>
      <c r="R130" s="55"/>
      <c r="S130" s="58"/>
    </row>
    <row r="131" spans="1:19" x14ac:dyDescent="0.25">
      <c r="A131" s="54"/>
      <c r="B131" s="14"/>
      <c r="C131" s="55"/>
      <c r="D131" s="113" t="s">
        <v>428</v>
      </c>
      <c r="E131" s="80" t="s">
        <v>372</v>
      </c>
      <c r="F131" s="33">
        <v>29472.3</v>
      </c>
      <c r="G131" s="65">
        <f>335038/112</f>
        <v>2991.4107142857142</v>
      </c>
      <c r="H131" s="33">
        <v>28365.3</v>
      </c>
      <c r="I131" s="65">
        <f>335038/112</f>
        <v>2991.4107142857142</v>
      </c>
      <c r="J131" s="33"/>
      <c r="K131" s="65">
        <f>335038/112</f>
        <v>2991.4107142857142</v>
      </c>
      <c r="L131" s="66">
        <f t="shared" si="17"/>
        <v>57837.599999999999</v>
      </c>
      <c r="M131" s="33">
        <f t="shared" si="18"/>
        <v>8974.2321428571431</v>
      </c>
      <c r="N131" s="67">
        <f t="shared" si="19"/>
        <v>644.48522257176796</v>
      </c>
      <c r="O131" s="66">
        <f>86352.68+L131</f>
        <v>144190.28</v>
      </c>
      <c r="P131" s="82">
        <f>8974.23+M131</f>
        <v>17948.462142857141</v>
      </c>
      <c r="Q131" s="83">
        <f t="shared" si="20"/>
        <v>803.35729519524705</v>
      </c>
      <c r="R131" s="55"/>
      <c r="S131" s="58"/>
    </row>
    <row r="132" spans="1:19" x14ac:dyDescent="0.25">
      <c r="A132" s="54"/>
      <c r="B132" s="14"/>
      <c r="C132" s="55"/>
      <c r="D132" s="113" t="s">
        <v>429</v>
      </c>
      <c r="E132" s="80" t="s">
        <v>372</v>
      </c>
      <c r="F132" s="33">
        <v>1372</v>
      </c>
      <c r="G132" s="65">
        <f>(76053.26+181938.74)/12</f>
        <v>21499.333333333332</v>
      </c>
      <c r="H132" s="33">
        <v>7294.14</v>
      </c>
      <c r="I132" s="65">
        <f>(76053.26+181938.74)/12</f>
        <v>21499.333333333332</v>
      </c>
      <c r="J132" s="33"/>
      <c r="K132" s="65">
        <f>(76053.26+181938.74)/12</f>
        <v>21499.333333333332</v>
      </c>
      <c r="L132" s="66">
        <f t="shared" si="17"/>
        <v>8666.14</v>
      </c>
      <c r="M132" s="33">
        <f t="shared" si="18"/>
        <v>64498</v>
      </c>
      <c r="N132" s="67">
        <f t="shared" si="19"/>
        <v>13.436292598220097</v>
      </c>
      <c r="O132" s="66">
        <f>(21563.26+2320)+L132</f>
        <v>32549.399999999998</v>
      </c>
      <c r="P132" s="82">
        <f>64498+M132</f>
        <v>128996</v>
      </c>
      <c r="Q132" s="83">
        <f t="shared" si="20"/>
        <v>25.232875437998075</v>
      </c>
      <c r="R132" s="55"/>
      <c r="S132" s="58"/>
    </row>
    <row r="133" spans="1:19" hidden="1" x14ac:dyDescent="0.25">
      <c r="A133" s="54"/>
      <c r="B133" s="14"/>
      <c r="C133" s="55"/>
      <c r="D133" s="113" t="s">
        <v>234</v>
      </c>
      <c r="E133" s="80" t="s">
        <v>339</v>
      </c>
      <c r="F133" s="33">
        <v>0</v>
      </c>
      <c r="G133" s="65">
        <f>64500/12</f>
        <v>5375</v>
      </c>
      <c r="H133" s="33">
        <v>0</v>
      </c>
      <c r="I133" s="65">
        <v>5375</v>
      </c>
      <c r="J133" s="33">
        <v>0</v>
      </c>
      <c r="K133" s="81">
        <v>5375</v>
      </c>
      <c r="L133" s="66">
        <f t="shared" ref="L133:L164" si="21">+F133+H133+J133</f>
        <v>0</v>
      </c>
      <c r="M133" s="33">
        <f t="shared" ref="M133:M164" si="22">+G133+I133+K133</f>
        <v>16125</v>
      </c>
      <c r="N133" s="67">
        <f t="shared" si="19"/>
        <v>0</v>
      </c>
      <c r="O133" s="66">
        <v>0</v>
      </c>
      <c r="P133" s="82">
        <f>16125+M133</f>
        <v>32250</v>
      </c>
      <c r="Q133" s="83">
        <f t="shared" si="20"/>
        <v>0</v>
      </c>
      <c r="R133" s="55"/>
      <c r="S133" s="58"/>
    </row>
    <row r="134" spans="1:19" hidden="1" x14ac:dyDescent="0.25">
      <c r="A134" s="54"/>
      <c r="B134" s="14"/>
      <c r="C134" s="55"/>
      <c r="D134" s="113" t="s">
        <v>235</v>
      </c>
      <c r="E134" s="80" t="s">
        <v>340</v>
      </c>
      <c r="F134" s="33">
        <v>0</v>
      </c>
      <c r="G134" s="65">
        <v>0</v>
      </c>
      <c r="H134" s="33">
        <v>0</v>
      </c>
      <c r="I134" s="65">
        <v>0</v>
      </c>
      <c r="J134" s="33">
        <v>0</v>
      </c>
      <c r="K134" s="81">
        <v>0</v>
      </c>
      <c r="L134" s="66">
        <f t="shared" si="21"/>
        <v>0</v>
      </c>
      <c r="M134" s="33">
        <f t="shared" si="22"/>
        <v>0</v>
      </c>
      <c r="N134" s="67">
        <v>0</v>
      </c>
      <c r="O134" s="66">
        <v>0</v>
      </c>
      <c r="P134" s="82">
        <v>0</v>
      </c>
      <c r="Q134" s="83">
        <v>0</v>
      </c>
      <c r="R134" s="55"/>
      <c r="S134" s="58"/>
    </row>
    <row r="135" spans="1:19" hidden="1" x14ac:dyDescent="0.25">
      <c r="A135" s="54"/>
      <c r="B135" s="14"/>
      <c r="C135" s="55"/>
      <c r="D135" s="113" t="s">
        <v>236</v>
      </c>
      <c r="E135" s="80" t="s">
        <v>341</v>
      </c>
      <c r="F135" s="33">
        <v>0</v>
      </c>
      <c r="G135" s="65">
        <f>32800/12</f>
        <v>2733.3333333333335</v>
      </c>
      <c r="H135" s="33">
        <v>0</v>
      </c>
      <c r="I135" s="65">
        <v>2733.3333333333335</v>
      </c>
      <c r="J135" s="33">
        <v>0</v>
      </c>
      <c r="K135" s="81">
        <v>2733.3333333333335</v>
      </c>
      <c r="L135" s="66">
        <f t="shared" si="21"/>
        <v>0</v>
      </c>
      <c r="M135" s="33">
        <f t="shared" si="22"/>
        <v>8200</v>
      </c>
      <c r="N135" s="67">
        <f t="shared" ref="N135:N166" si="23">+L135/M135*100</f>
        <v>0</v>
      </c>
      <c r="O135" s="66">
        <v>0</v>
      </c>
      <c r="P135" s="82">
        <f>8200+M135</f>
        <v>16400</v>
      </c>
      <c r="Q135" s="83">
        <f t="shared" ref="Q135:Q166" si="24">O135/P135*100</f>
        <v>0</v>
      </c>
      <c r="R135" s="55"/>
      <c r="S135" s="58"/>
    </row>
    <row r="136" spans="1:19" x14ac:dyDescent="0.25">
      <c r="A136" s="54"/>
      <c r="B136" s="14"/>
      <c r="C136" s="55"/>
      <c r="D136" s="113" t="s">
        <v>430</v>
      </c>
      <c r="E136" s="80" t="s">
        <v>372</v>
      </c>
      <c r="F136" s="33">
        <v>64759.05</v>
      </c>
      <c r="G136" s="65">
        <f>706290/12</f>
        <v>58857.5</v>
      </c>
      <c r="H136" s="33">
        <v>92022.720000000001</v>
      </c>
      <c r="I136" s="65">
        <f>706290/12</f>
        <v>58857.5</v>
      </c>
      <c r="J136" s="33">
        <v>0</v>
      </c>
      <c r="K136" s="65">
        <f>706290/12</f>
        <v>58857.5</v>
      </c>
      <c r="L136" s="66">
        <f t="shared" si="21"/>
        <v>156781.77000000002</v>
      </c>
      <c r="M136" s="33">
        <f t="shared" si="22"/>
        <v>176572.5</v>
      </c>
      <c r="N136" s="67">
        <f t="shared" si="23"/>
        <v>88.791725778363002</v>
      </c>
      <c r="O136" s="66">
        <f>182945.55+L136</f>
        <v>339727.32</v>
      </c>
      <c r="P136" s="82">
        <f>176572.5+M136</f>
        <v>353145</v>
      </c>
      <c r="Q136" s="83">
        <f t="shared" si="24"/>
        <v>96.200518200739069</v>
      </c>
      <c r="R136" s="55"/>
      <c r="S136" s="58"/>
    </row>
    <row r="137" spans="1:19" x14ac:dyDescent="0.25">
      <c r="A137" s="54"/>
      <c r="B137" s="14"/>
      <c r="C137" s="55"/>
      <c r="D137" s="113" t="s">
        <v>431</v>
      </c>
      <c r="E137" s="80" t="s">
        <v>372</v>
      </c>
      <c r="F137" s="33">
        <v>10721.47</v>
      </c>
      <c r="G137" s="65">
        <f>417500/12</f>
        <v>34791.666666666664</v>
      </c>
      <c r="H137" s="33">
        <v>10721.48</v>
      </c>
      <c r="I137" s="65">
        <f>417500/12</f>
        <v>34791.666666666664</v>
      </c>
      <c r="J137" s="33">
        <v>0</v>
      </c>
      <c r="K137" s="65">
        <f>417500/12</f>
        <v>34791.666666666664</v>
      </c>
      <c r="L137" s="66">
        <f t="shared" si="21"/>
        <v>21442.949999999997</v>
      </c>
      <c r="M137" s="33">
        <f t="shared" si="22"/>
        <v>104375</v>
      </c>
      <c r="N137" s="67">
        <f t="shared" si="23"/>
        <v>20.544143712574847</v>
      </c>
      <c r="O137" s="66">
        <f>33057.89+L137</f>
        <v>54500.84</v>
      </c>
      <c r="P137" s="82">
        <f>104375+M137</f>
        <v>208750</v>
      </c>
      <c r="Q137" s="83">
        <f t="shared" si="24"/>
        <v>26.1081868263473</v>
      </c>
      <c r="R137" s="55"/>
      <c r="S137" s="58"/>
    </row>
    <row r="138" spans="1:19" x14ac:dyDescent="0.25">
      <c r="A138" s="54"/>
      <c r="B138" s="14"/>
      <c r="C138" s="55"/>
      <c r="D138" s="113" t="s">
        <v>432</v>
      </c>
      <c r="E138" s="80" t="s">
        <v>372</v>
      </c>
      <c r="F138" s="33">
        <v>32160.240000000002</v>
      </c>
      <c r="G138" s="65">
        <f>644000/12</f>
        <v>53666.666666666664</v>
      </c>
      <c r="H138" s="33">
        <v>32160.240000000002</v>
      </c>
      <c r="I138" s="65">
        <f>644000/12</f>
        <v>53666.666666666664</v>
      </c>
      <c r="J138" s="33">
        <v>0</v>
      </c>
      <c r="K138" s="65">
        <f>644000/12</f>
        <v>53666.666666666664</v>
      </c>
      <c r="L138" s="66">
        <f t="shared" si="21"/>
        <v>64320.480000000003</v>
      </c>
      <c r="M138" s="33">
        <f t="shared" si="22"/>
        <v>161000</v>
      </c>
      <c r="N138" s="67">
        <f t="shared" si="23"/>
        <v>39.950608695652171</v>
      </c>
      <c r="O138" s="66">
        <f>98267.4+L138</f>
        <v>162587.88</v>
      </c>
      <c r="P138" s="82">
        <f>161000+M138</f>
        <v>322000</v>
      </c>
      <c r="Q138" s="83">
        <f t="shared" si="24"/>
        <v>50.493130434782607</v>
      </c>
      <c r="R138" s="55"/>
      <c r="S138" s="58"/>
    </row>
    <row r="139" spans="1:19" x14ac:dyDescent="0.25">
      <c r="A139" s="54"/>
      <c r="B139" s="14"/>
      <c r="C139" s="55"/>
      <c r="D139" s="113" t="s">
        <v>433</v>
      </c>
      <c r="E139" s="80" t="s">
        <v>372</v>
      </c>
      <c r="F139" s="33">
        <v>26457.759999999998</v>
      </c>
      <c r="G139" s="65">
        <f>315510/12</f>
        <v>26292.5</v>
      </c>
      <c r="H139" s="33">
        <v>26457.759999999998</v>
      </c>
      <c r="I139" s="65">
        <f>315510/12</f>
        <v>26292.5</v>
      </c>
      <c r="J139" s="33"/>
      <c r="K139" s="65">
        <f>315510/12</f>
        <v>26292.5</v>
      </c>
      <c r="L139" s="66">
        <f t="shared" si="21"/>
        <v>52915.519999999997</v>
      </c>
      <c r="M139" s="33">
        <f t="shared" si="22"/>
        <v>78877.5</v>
      </c>
      <c r="N139" s="67">
        <f t="shared" si="23"/>
        <v>67.085696174447719</v>
      </c>
      <c r="O139" s="66">
        <f>66509.28+L139</f>
        <v>119424.79999999999</v>
      </c>
      <c r="P139" s="82">
        <f>78777.5+M139</f>
        <v>157655</v>
      </c>
      <c r="Q139" s="83">
        <f t="shared" si="24"/>
        <v>75.750721512162627</v>
      </c>
      <c r="R139" s="55"/>
      <c r="S139" s="58"/>
    </row>
    <row r="140" spans="1:19" x14ac:dyDescent="0.25">
      <c r="A140" s="54"/>
      <c r="B140" s="14"/>
      <c r="C140" s="55"/>
      <c r="D140" s="113" t="s">
        <v>434</v>
      </c>
      <c r="E140" s="80" t="s">
        <v>372</v>
      </c>
      <c r="F140" s="33">
        <v>114312.4</v>
      </c>
      <c r="G140" s="65">
        <f>1221300/12</f>
        <v>101775</v>
      </c>
      <c r="H140" s="33">
        <v>109338.29</v>
      </c>
      <c r="I140" s="65">
        <f>1221300/12</f>
        <v>101775</v>
      </c>
      <c r="J140" s="33"/>
      <c r="K140" s="65">
        <f>1221300/12</f>
        <v>101775</v>
      </c>
      <c r="L140" s="66">
        <f t="shared" si="21"/>
        <v>223650.69</v>
      </c>
      <c r="M140" s="33">
        <f t="shared" si="22"/>
        <v>305325</v>
      </c>
      <c r="N140" s="67">
        <f t="shared" si="23"/>
        <v>73.25004175878162</v>
      </c>
      <c r="O140" s="66">
        <f>316780.06+L140</f>
        <v>540430.75</v>
      </c>
      <c r="P140" s="82">
        <f>305325+M140</f>
        <v>610650</v>
      </c>
      <c r="Q140" s="83">
        <f t="shared" si="24"/>
        <v>88.500900679603703</v>
      </c>
      <c r="R140" s="55"/>
      <c r="S140" s="58"/>
    </row>
    <row r="141" spans="1:19" x14ac:dyDescent="0.25">
      <c r="A141" s="54"/>
      <c r="B141" s="14"/>
      <c r="C141" s="55"/>
      <c r="D141" s="113" t="s">
        <v>435</v>
      </c>
      <c r="E141" s="80" t="s">
        <v>372</v>
      </c>
      <c r="F141" s="33">
        <v>593543.44999999995</v>
      </c>
      <c r="G141" s="65">
        <f>3597913.9/12</f>
        <v>299826.15833333333</v>
      </c>
      <c r="H141" s="33">
        <v>103984.79</v>
      </c>
      <c r="I141" s="65">
        <f>3597913.9/12</f>
        <v>299826.15833333333</v>
      </c>
      <c r="J141" s="33"/>
      <c r="K141" s="65">
        <f>3597913.9/12</f>
        <v>299826.15833333333</v>
      </c>
      <c r="L141" s="66">
        <f t="shared" si="21"/>
        <v>697528.24</v>
      </c>
      <c r="M141" s="33">
        <f t="shared" si="22"/>
        <v>899478.47499999998</v>
      </c>
      <c r="N141" s="67">
        <f t="shared" si="23"/>
        <v>77.548074732972353</v>
      </c>
      <c r="O141" s="66">
        <f>254930.54+L141</f>
        <v>952458.78</v>
      </c>
      <c r="P141" s="82">
        <f>899478.48+M141</f>
        <v>1798956.9550000001</v>
      </c>
      <c r="Q141" s="83">
        <f t="shared" si="24"/>
        <v>52.945056709264058</v>
      </c>
      <c r="R141" s="55"/>
      <c r="S141" s="58"/>
    </row>
    <row r="142" spans="1:19" x14ac:dyDescent="0.25">
      <c r="A142" s="54"/>
      <c r="B142" s="14"/>
      <c r="C142" s="55"/>
      <c r="D142" s="113" t="s">
        <v>436</v>
      </c>
      <c r="E142" s="80" t="s">
        <v>372</v>
      </c>
      <c r="F142" s="33">
        <v>145039.93</v>
      </c>
      <c r="G142" s="65">
        <f>1522050/12</f>
        <v>126837.5</v>
      </c>
      <c r="H142" s="33">
        <v>114445.59</v>
      </c>
      <c r="I142" s="65">
        <f>1522050/12</f>
        <v>126837.5</v>
      </c>
      <c r="J142" s="33"/>
      <c r="K142" s="65">
        <f>1522050/12</f>
        <v>126837.5</v>
      </c>
      <c r="L142" s="66">
        <f t="shared" si="21"/>
        <v>259485.52</v>
      </c>
      <c r="M142" s="33">
        <f t="shared" si="22"/>
        <v>380512.5</v>
      </c>
      <c r="N142" s="67">
        <f t="shared" si="23"/>
        <v>68.193691403041939</v>
      </c>
      <c r="O142" s="66">
        <f>361871.24+L142</f>
        <v>621356.76</v>
      </c>
      <c r="P142" s="82">
        <f>380512.5+M142</f>
        <v>761025</v>
      </c>
      <c r="Q142" s="83">
        <f t="shared" si="24"/>
        <v>81.647351926677842</v>
      </c>
      <c r="R142" s="55"/>
      <c r="S142" s="58"/>
    </row>
    <row r="143" spans="1:19" x14ac:dyDescent="0.25">
      <c r="A143" s="54"/>
      <c r="B143" s="14"/>
      <c r="C143" s="55"/>
      <c r="D143" s="113" t="s">
        <v>437</v>
      </c>
      <c r="E143" s="80" t="s">
        <v>372</v>
      </c>
      <c r="F143" s="33">
        <v>185582.44</v>
      </c>
      <c r="G143" s="65">
        <f>2093523.04/12</f>
        <v>174460.25333333333</v>
      </c>
      <c r="H143" s="33">
        <v>185163.74</v>
      </c>
      <c r="I143" s="65">
        <f>2093523.04/12</f>
        <v>174460.25333333333</v>
      </c>
      <c r="J143" s="33"/>
      <c r="K143" s="65">
        <f>2093523.04/12</f>
        <v>174460.25333333333</v>
      </c>
      <c r="L143" s="66">
        <f t="shared" si="21"/>
        <v>370746.18</v>
      </c>
      <c r="M143" s="33">
        <f t="shared" si="22"/>
        <v>523380.76</v>
      </c>
      <c r="N143" s="67">
        <f t="shared" si="23"/>
        <v>70.836799579717066</v>
      </c>
      <c r="O143" s="66">
        <f>461805.39+L143</f>
        <v>832551.57000000007</v>
      </c>
      <c r="P143" s="82">
        <f>523380.76+M143</f>
        <v>1046761.52</v>
      </c>
      <c r="Q143" s="83">
        <f t="shared" si="24"/>
        <v>79.535935749720721</v>
      </c>
      <c r="R143" s="55"/>
      <c r="S143" s="58"/>
    </row>
    <row r="144" spans="1:19" x14ac:dyDescent="0.25">
      <c r="A144" s="54"/>
      <c r="B144" s="14"/>
      <c r="C144" s="55"/>
      <c r="D144" s="113" t="s">
        <v>438</v>
      </c>
      <c r="E144" s="80" t="s">
        <v>372</v>
      </c>
      <c r="F144" s="33">
        <v>41999.48</v>
      </c>
      <c r="G144" s="65">
        <f>535818/12</f>
        <v>44651.5</v>
      </c>
      <c r="H144" s="33">
        <v>41999.48</v>
      </c>
      <c r="I144" s="65">
        <f>535818/12</f>
        <v>44651.5</v>
      </c>
      <c r="J144" s="33"/>
      <c r="K144" s="65">
        <f>535818/12</f>
        <v>44651.5</v>
      </c>
      <c r="L144" s="66">
        <f t="shared" si="21"/>
        <v>83998.96</v>
      </c>
      <c r="M144" s="33">
        <f t="shared" si="22"/>
        <v>133954.5</v>
      </c>
      <c r="N144" s="67">
        <f t="shared" si="23"/>
        <v>62.707083375325212</v>
      </c>
      <c r="O144" s="66">
        <f>128632.03+L144</f>
        <v>212630.99</v>
      </c>
      <c r="P144" s="82">
        <f>133954.5</f>
        <v>133954.5</v>
      </c>
      <c r="Q144" s="83">
        <f t="shared" si="24"/>
        <v>158.73374168094389</v>
      </c>
      <c r="R144" s="55"/>
      <c r="S144" s="58"/>
    </row>
    <row r="145" spans="1:19" x14ac:dyDescent="0.25">
      <c r="A145" s="54"/>
      <c r="B145" s="14"/>
      <c r="C145" s="55"/>
      <c r="D145" s="113" t="s">
        <v>439</v>
      </c>
      <c r="E145" s="80" t="s">
        <v>372</v>
      </c>
      <c r="F145" s="33">
        <v>11823.12</v>
      </c>
      <c r="G145" s="65">
        <f>456938/12</f>
        <v>38078.166666666664</v>
      </c>
      <c r="H145" s="33">
        <v>11823.12</v>
      </c>
      <c r="I145" s="65">
        <f>456938/12</f>
        <v>38078.166666666664</v>
      </c>
      <c r="J145" s="33"/>
      <c r="K145" s="65">
        <f>456938/12</f>
        <v>38078.166666666664</v>
      </c>
      <c r="L145" s="66">
        <f t="shared" si="21"/>
        <v>23646.240000000002</v>
      </c>
      <c r="M145" s="33">
        <f t="shared" si="22"/>
        <v>114234.5</v>
      </c>
      <c r="N145" s="67">
        <f t="shared" si="23"/>
        <v>20.699736069226024</v>
      </c>
      <c r="O145" s="66">
        <f>46322.76+L145</f>
        <v>69969</v>
      </c>
      <c r="P145" s="82">
        <f>114234.5+M145</f>
        <v>228469</v>
      </c>
      <c r="Q145" s="83">
        <f t="shared" si="24"/>
        <v>30.625161400452576</v>
      </c>
      <c r="R145" s="55"/>
      <c r="S145" s="58"/>
    </row>
    <row r="146" spans="1:19" x14ac:dyDescent="0.25">
      <c r="A146" s="54"/>
      <c r="B146" s="14"/>
      <c r="C146" s="55"/>
      <c r="D146" s="113" t="s">
        <v>440</v>
      </c>
      <c r="E146" s="80" t="s">
        <v>372</v>
      </c>
      <c r="F146" s="33">
        <v>117144.82</v>
      </c>
      <c r="G146" s="65">
        <f>1335461.86/12</f>
        <v>111288.48833333334</v>
      </c>
      <c r="H146" s="33">
        <v>113576.52</v>
      </c>
      <c r="I146" s="65">
        <f>1335461.86/12</f>
        <v>111288.48833333334</v>
      </c>
      <c r="J146" s="33"/>
      <c r="K146" s="65">
        <f>1335461.86/12</f>
        <v>111288.48833333334</v>
      </c>
      <c r="L146" s="66">
        <f t="shared" si="21"/>
        <v>230721.34000000003</v>
      </c>
      <c r="M146" s="33">
        <f t="shared" si="22"/>
        <v>333865.46500000003</v>
      </c>
      <c r="N146" s="67">
        <f t="shared" si="23"/>
        <v>69.106081397187936</v>
      </c>
      <c r="O146" s="66">
        <f>313263.36+L146</f>
        <v>543984.69999999995</v>
      </c>
      <c r="P146" s="82">
        <f>333865.47+M146</f>
        <v>667730.93500000006</v>
      </c>
      <c r="Q146" s="83">
        <f t="shared" si="24"/>
        <v>81.467649840126086</v>
      </c>
      <c r="R146" s="55"/>
      <c r="S146" s="58"/>
    </row>
    <row r="147" spans="1:19" x14ac:dyDescent="0.25">
      <c r="A147" s="54"/>
      <c r="B147" s="14"/>
      <c r="C147" s="55"/>
      <c r="D147" s="113" t="s">
        <v>441</v>
      </c>
      <c r="E147" s="80" t="s">
        <v>372</v>
      </c>
      <c r="F147" s="33">
        <v>25490.69</v>
      </c>
      <c r="G147" s="65">
        <f>316600/12</f>
        <v>26383.333333333332</v>
      </c>
      <c r="H147" s="33">
        <v>28062.31</v>
      </c>
      <c r="I147" s="65">
        <f>316600/12</f>
        <v>26383.333333333332</v>
      </c>
      <c r="J147" s="33"/>
      <c r="K147" s="65">
        <f>316600/12</f>
        <v>26383.333333333332</v>
      </c>
      <c r="L147" s="66">
        <f t="shared" si="21"/>
        <v>53553</v>
      </c>
      <c r="M147" s="33">
        <f t="shared" si="22"/>
        <v>79150</v>
      </c>
      <c r="N147" s="67">
        <f t="shared" si="23"/>
        <v>67.660138976626655</v>
      </c>
      <c r="O147" s="66">
        <f>81507.58+L147</f>
        <v>135060.58000000002</v>
      </c>
      <c r="P147" s="82">
        <f>333865.47+M147</f>
        <v>413015.47</v>
      </c>
      <c r="Q147" s="83">
        <f t="shared" si="24"/>
        <v>32.701094707178889</v>
      </c>
      <c r="R147" s="55"/>
      <c r="S147" s="58"/>
    </row>
    <row r="148" spans="1:19" hidden="1" x14ac:dyDescent="0.25">
      <c r="A148" s="54"/>
      <c r="B148" s="14"/>
      <c r="C148" s="55"/>
      <c r="D148" s="113" t="s">
        <v>237</v>
      </c>
      <c r="E148" s="80" t="s">
        <v>342</v>
      </c>
      <c r="F148" s="33">
        <v>0</v>
      </c>
      <c r="G148" s="65">
        <f>5000/12</f>
        <v>416.66666666666669</v>
      </c>
      <c r="H148" s="33">
        <v>0</v>
      </c>
      <c r="I148" s="65">
        <f>5000/12</f>
        <v>416.66666666666669</v>
      </c>
      <c r="J148" s="33">
        <v>0</v>
      </c>
      <c r="K148" s="65">
        <f>5000/12</f>
        <v>416.66666666666669</v>
      </c>
      <c r="L148" s="66">
        <f t="shared" si="21"/>
        <v>0</v>
      </c>
      <c r="M148" s="33">
        <f t="shared" si="22"/>
        <v>1250</v>
      </c>
      <c r="N148" s="67">
        <f t="shared" si="23"/>
        <v>0</v>
      </c>
      <c r="O148" s="66">
        <v>0</v>
      </c>
      <c r="P148" s="82">
        <f>1250+M148</f>
        <v>2500</v>
      </c>
      <c r="Q148" s="83">
        <f t="shared" si="24"/>
        <v>0</v>
      </c>
      <c r="R148" s="55"/>
      <c r="S148" s="58"/>
    </row>
    <row r="149" spans="1:19" x14ac:dyDescent="0.25">
      <c r="A149" s="54"/>
      <c r="B149" s="14"/>
      <c r="C149" s="55"/>
      <c r="D149" s="113" t="s">
        <v>442</v>
      </c>
      <c r="E149" s="80" t="s">
        <v>372</v>
      </c>
      <c r="F149" s="33">
        <v>38621.230000000003</v>
      </c>
      <c r="G149" s="65">
        <f>367500/12</f>
        <v>30625</v>
      </c>
      <c r="H149" s="33">
        <v>20326.169999999998</v>
      </c>
      <c r="I149" s="65">
        <f>367500/12</f>
        <v>30625</v>
      </c>
      <c r="J149" s="33"/>
      <c r="K149" s="65">
        <f>367500/12</f>
        <v>30625</v>
      </c>
      <c r="L149" s="66">
        <f t="shared" si="21"/>
        <v>58947.4</v>
      </c>
      <c r="M149" s="33">
        <f t="shared" si="22"/>
        <v>91875</v>
      </c>
      <c r="N149" s="67">
        <f t="shared" si="23"/>
        <v>64.160435374149657</v>
      </c>
      <c r="O149" s="66">
        <f>75708.88+L149</f>
        <v>134656.28</v>
      </c>
      <c r="P149" s="82">
        <f>91875+M149</f>
        <v>183750</v>
      </c>
      <c r="Q149" s="83">
        <f t="shared" si="24"/>
        <v>73.282329251700688</v>
      </c>
      <c r="R149" s="55"/>
      <c r="S149" s="58"/>
    </row>
    <row r="150" spans="1:19" x14ac:dyDescent="0.25">
      <c r="A150" s="54"/>
      <c r="B150" s="14"/>
      <c r="C150" s="55"/>
      <c r="D150" s="113" t="s">
        <v>443</v>
      </c>
      <c r="E150" s="80" t="s">
        <v>372</v>
      </c>
      <c r="F150" s="33">
        <v>59129.56</v>
      </c>
      <c r="G150" s="65">
        <f>798607/12</f>
        <v>66550.583333333328</v>
      </c>
      <c r="H150" s="33">
        <v>76793.58</v>
      </c>
      <c r="I150" s="65">
        <f>798607/12</f>
        <v>66550.583333333328</v>
      </c>
      <c r="J150" s="33"/>
      <c r="K150" s="65">
        <f>798607/12</f>
        <v>66550.583333333328</v>
      </c>
      <c r="L150" s="66">
        <f t="shared" si="21"/>
        <v>135923.14000000001</v>
      </c>
      <c r="M150" s="33">
        <f t="shared" si="22"/>
        <v>199651.75</v>
      </c>
      <c r="N150" s="67">
        <f t="shared" si="23"/>
        <v>68.08011449937203</v>
      </c>
      <c r="O150" s="66">
        <f>188660.7+L150</f>
        <v>324583.84000000003</v>
      </c>
      <c r="P150" s="82">
        <f>199651.75+M150</f>
        <v>399303.5</v>
      </c>
      <c r="Q150" s="83">
        <f t="shared" si="24"/>
        <v>81.287501862618299</v>
      </c>
      <c r="R150" s="55"/>
      <c r="S150" s="58"/>
    </row>
    <row r="151" spans="1:19" hidden="1" x14ac:dyDescent="0.25">
      <c r="A151" s="54"/>
      <c r="B151" s="14"/>
      <c r="C151" s="55"/>
      <c r="D151" s="113" t="s">
        <v>238</v>
      </c>
      <c r="E151" s="80" t="s">
        <v>343</v>
      </c>
      <c r="F151" s="33">
        <v>0</v>
      </c>
      <c r="G151" s="65">
        <f>+I151</f>
        <v>2500</v>
      </c>
      <c r="H151" s="33">
        <v>0</v>
      </c>
      <c r="I151" s="65">
        <v>2500</v>
      </c>
      <c r="J151" s="33">
        <v>0</v>
      </c>
      <c r="K151" s="81">
        <v>2500</v>
      </c>
      <c r="L151" s="66">
        <f t="shared" si="21"/>
        <v>0</v>
      </c>
      <c r="M151" s="33">
        <f t="shared" si="22"/>
        <v>7500</v>
      </c>
      <c r="N151" s="67">
        <f t="shared" si="23"/>
        <v>0</v>
      </c>
      <c r="O151" s="66">
        <v>0</v>
      </c>
      <c r="P151" s="82">
        <f>7500+M151</f>
        <v>15000</v>
      </c>
      <c r="Q151" s="83">
        <f t="shared" si="24"/>
        <v>0</v>
      </c>
      <c r="R151" s="55"/>
      <c r="S151" s="58"/>
    </row>
    <row r="152" spans="1:19" hidden="1" x14ac:dyDescent="0.25">
      <c r="A152" s="54"/>
      <c r="B152" s="14"/>
      <c r="C152" s="55"/>
      <c r="D152" s="113" t="s">
        <v>239</v>
      </c>
      <c r="E152" s="80" t="s">
        <v>344</v>
      </c>
      <c r="F152" s="33">
        <v>0</v>
      </c>
      <c r="G152" s="65">
        <f>7800/12</f>
        <v>650</v>
      </c>
      <c r="H152" s="33">
        <v>0</v>
      </c>
      <c r="I152" s="65">
        <v>650</v>
      </c>
      <c r="J152" s="33">
        <v>0</v>
      </c>
      <c r="K152" s="81">
        <v>650</v>
      </c>
      <c r="L152" s="66">
        <f t="shared" si="21"/>
        <v>0</v>
      </c>
      <c r="M152" s="33">
        <f t="shared" si="22"/>
        <v>1950</v>
      </c>
      <c r="N152" s="67">
        <f t="shared" si="23"/>
        <v>0</v>
      </c>
      <c r="O152" s="66">
        <v>0</v>
      </c>
      <c r="P152" s="82">
        <f>1950+M152</f>
        <v>3900</v>
      </c>
      <c r="Q152" s="83">
        <f t="shared" si="24"/>
        <v>0</v>
      </c>
      <c r="R152" s="55"/>
      <c r="S152" s="58"/>
    </row>
    <row r="153" spans="1:19" hidden="1" x14ac:dyDescent="0.25">
      <c r="A153" s="54"/>
      <c r="B153" s="14"/>
      <c r="C153" s="55"/>
      <c r="D153" s="113" t="s">
        <v>240</v>
      </c>
      <c r="E153" s="80" t="s">
        <v>345</v>
      </c>
      <c r="F153" s="33">
        <v>0</v>
      </c>
      <c r="G153" s="65">
        <f>+I153</f>
        <v>83.333333333333329</v>
      </c>
      <c r="H153" s="33">
        <v>0</v>
      </c>
      <c r="I153" s="65">
        <v>83.333333333333329</v>
      </c>
      <c r="J153" s="33">
        <v>0</v>
      </c>
      <c r="K153" s="81">
        <v>83.333333333333329</v>
      </c>
      <c r="L153" s="66">
        <f t="shared" si="21"/>
        <v>0</v>
      </c>
      <c r="M153" s="33">
        <f t="shared" si="22"/>
        <v>250</v>
      </c>
      <c r="N153" s="67">
        <f t="shared" si="23"/>
        <v>0</v>
      </c>
      <c r="O153" s="66">
        <v>0</v>
      </c>
      <c r="P153" s="82">
        <f>250+M153</f>
        <v>500</v>
      </c>
      <c r="Q153" s="83">
        <f t="shared" si="24"/>
        <v>0</v>
      </c>
      <c r="R153" s="55"/>
      <c r="S153" s="58"/>
    </row>
    <row r="154" spans="1:19" hidden="1" x14ac:dyDescent="0.25">
      <c r="A154" s="54"/>
      <c r="B154" s="14"/>
      <c r="C154" s="55"/>
      <c r="D154" s="113" t="s">
        <v>241</v>
      </c>
      <c r="E154" s="80" t="s">
        <v>346</v>
      </c>
      <c r="F154" s="33">
        <v>0</v>
      </c>
      <c r="G154" s="65">
        <f>+I154</f>
        <v>225</v>
      </c>
      <c r="H154" s="33">
        <v>0</v>
      </c>
      <c r="I154" s="65">
        <v>225</v>
      </c>
      <c r="J154" s="33">
        <v>0</v>
      </c>
      <c r="K154" s="81">
        <v>225</v>
      </c>
      <c r="L154" s="66">
        <f t="shared" si="21"/>
        <v>0</v>
      </c>
      <c r="M154" s="33">
        <f t="shared" si="22"/>
        <v>675</v>
      </c>
      <c r="N154" s="67">
        <f t="shared" si="23"/>
        <v>0</v>
      </c>
      <c r="O154" s="66">
        <v>0</v>
      </c>
      <c r="P154" s="82">
        <f>675+M154</f>
        <v>1350</v>
      </c>
      <c r="Q154" s="83">
        <f t="shared" si="24"/>
        <v>0</v>
      </c>
      <c r="R154" s="55"/>
      <c r="S154" s="58"/>
    </row>
    <row r="155" spans="1:19" x14ac:dyDescent="0.25">
      <c r="A155" s="54"/>
      <c r="B155" s="14"/>
      <c r="C155" s="55"/>
      <c r="D155" s="113" t="s">
        <v>444</v>
      </c>
      <c r="E155" s="80" t="s">
        <v>372</v>
      </c>
      <c r="F155" s="33">
        <v>16925.419999999998</v>
      </c>
      <c r="G155" s="65">
        <f>415410/12</f>
        <v>34617.5</v>
      </c>
      <c r="H155" s="33">
        <v>16925.41</v>
      </c>
      <c r="I155" s="65">
        <f>415410/12</f>
        <v>34617.5</v>
      </c>
      <c r="J155" s="33"/>
      <c r="K155" s="65">
        <f>415410/12</f>
        <v>34617.5</v>
      </c>
      <c r="L155" s="66">
        <f t="shared" si="21"/>
        <v>33850.83</v>
      </c>
      <c r="M155" s="33">
        <f t="shared" si="22"/>
        <v>103852.5</v>
      </c>
      <c r="N155" s="67">
        <f t="shared" si="23"/>
        <v>32.595103632555791</v>
      </c>
      <c r="O155" s="66">
        <f>48995.15+L155</f>
        <v>82845.98000000001</v>
      </c>
      <c r="P155" s="82">
        <f>103852.5+M155</f>
        <v>207705</v>
      </c>
      <c r="Q155" s="83">
        <f t="shared" si="24"/>
        <v>39.886367684937781</v>
      </c>
      <c r="R155" s="55"/>
      <c r="S155" s="58"/>
    </row>
    <row r="156" spans="1:19" x14ac:dyDescent="0.25">
      <c r="A156" s="54"/>
      <c r="B156" s="14"/>
      <c r="C156" s="55"/>
      <c r="D156" s="113" t="s">
        <v>445</v>
      </c>
      <c r="E156" s="80" t="s">
        <v>372</v>
      </c>
      <c r="F156" s="33">
        <v>62764.74</v>
      </c>
      <c r="G156" s="65">
        <f>763090/12</f>
        <v>63590.833333333336</v>
      </c>
      <c r="H156" s="33">
        <v>62764.74</v>
      </c>
      <c r="I156" s="65">
        <f>763090/12</f>
        <v>63590.833333333336</v>
      </c>
      <c r="J156" s="33"/>
      <c r="K156" s="65">
        <f>763090/12</f>
        <v>63590.833333333336</v>
      </c>
      <c r="L156" s="66">
        <f t="shared" si="21"/>
        <v>125529.48</v>
      </c>
      <c r="M156" s="33">
        <f t="shared" si="22"/>
        <v>190772.5</v>
      </c>
      <c r="N156" s="67">
        <f t="shared" si="23"/>
        <v>65.800615916864331</v>
      </c>
      <c r="O156" s="66">
        <f>190482.42+L156</f>
        <v>316011.90000000002</v>
      </c>
      <c r="P156" s="82">
        <f>190772.5+M156</f>
        <v>381545</v>
      </c>
      <c r="Q156" s="83">
        <f t="shared" si="24"/>
        <v>82.824280229068663</v>
      </c>
      <c r="R156" s="55"/>
      <c r="S156" s="58"/>
    </row>
    <row r="157" spans="1:19" hidden="1" x14ac:dyDescent="0.25">
      <c r="A157" s="54"/>
      <c r="B157" s="14"/>
      <c r="C157" s="55"/>
      <c r="D157" s="113" t="s">
        <v>242</v>
      </c>
      <c r="E157" s="80" t="s">
        <v>347</v>
      </c>
      <c r="F157" s="33">
        <v>0</v>
      </c>
      <c r="G157" s="65">
        <f>+I157</f>
        <v>2916.6666666666665</v>
      </c>
      <c r="H157" s="33">
        <v>0</v>
      </c>
      <c r="I157" s="65">
        <v>2916.6666666666665</v>
      </c>
      <c r="J157" s="33">
        <v>0</v>
      </c>
      <c r="K157" s="81">
        <v>2916.6666666666665</v>
      </c>
      <c r="L157" s="66">
        <f t="shared" si="21"/>
        <v>0</v>
      </c>
      <c r="M157" s="33">
        <f t="shared" si="22"/>
        <v>8750</v>
      </c>
      <c r="N157" s="67">
        <f t="shared" si="23"/>
        <v>0</v>
      </c>
      <c r="O157" s="66">
        <v>0</v>
      </c>
      <c r="P157" s="82">
        <f>8750+M157</f>
        <v>17500</v>
      </c>
      <c r="Q157" s="83">
        <f t="shared" si="24"/>
        <v>0</v>
      </c>
      <c r="R157" s="55"/>
      <c r="S157" s="58"/>
    </row>
    <row r="158" spans="1:19" x14ac:dyDescent="0.25">
      <c r="A158" s="54"/>
      <c r="B158" s="14"/>
      <c r="C158" s="55"/>
      <c r="D158" s="113" t="s">
        <v>446</v>
      </c>
      <c r="E158" s="80" t="s">
        <v>372</v>
      </c>
      <c r="F158" s="33">
        <v>48223.7</v>
      </c>
      <c r="G158" s="65">
        <f>566738/12</f>
        <v>47228.166666666664</v>
      </c>
      <c r="H158" s="33">
        <v>36716.19</v>
      </c>
      <c r="I158" s="65">
        <f>566738/12</f>
        <v>47228.166666666664</v>
      </c>
      <c r="J158" s="33"/>
      <c r="K158" s="65">
        <f>566738/12</f>
        <v>47228.166666666664</v>
      </c>
      <c r="L158" s="66">
        <f t="shared" si="21"/>
        <v>84939.89</v>
      </c>
      <c r="M158" s="33">
        <f t="shared" si="22"/>
        <v>141684.5</v>
      </c>
      <c r="N158" s="67">
        <f t="shared" si="23"/>
        <v>59.950022761840572</v>
      </c>
      <c r="O158" s="66">
        <f>119477.75+L158</f>
        <v>204417.64</v>
      </c>
      <c r="P158" s="82">
        <f>141684.5+M158</f>
        <v>283369</v>
      </c>
      <c r="Q158" s="83">
        <f t="shared" si="24"/>
        <v>72.138321411304702</v>
      </c>
      <c r="R158" s="55"/>
      <c r="S158" s="58"/>
    </row>
    <row r="159" spans="1:19" x14ac:dyDescent="0.25">
      <c r="A159" s="54"/>
      <c r="B159" s="14"/>
      <c r="C159" s="55"/>
      <c r="D159" s="113" t="s">
        <v>447</v>
      </c>
      <c r="E159" s="80" t="s">
        <v>372</v>
      </c>
      <c r="F159" s="33">
        <v>0</v>
      </c>
      <c r="G159" s="65">
        <f>176600/12</f>
        <v>14716.666666666666</v>
      </c>
      <c r="H159" s="33">
        <v>0</v>
      </c>
      <c r="I159" s="65">
        <f>176600/12</f>
        <v>14716.666666666666</v>
      </c>
      <c r="J159" s="33">
        <v>0</v>
      </c>
      <c r="K159" s="65">
        <f>176600/12</f>
        <v>14716.666666666666</v>
      </c>
      <c r="L159" s="66">
        <f t="shared" si="21"/>
        <v>0</v>
      </c>
      <c r="M159" s="33">
        <f t="shared" si="22"/>
        <v>44150</v>
      </c>
      <c r="N159" s="67">
        <f t="shared" si="23"/>
        <v>0</v>
      </c>
      <c r="O159" s="66">
        <f>0+L159</f>
        <v>0</v>
      </c>
      <c r="P159" s="82">
        <f>44150+M159</f>
        <v>88300</v>
      </c>
      <c r="Q159" s="83">
        <f t="shared" si="24"/>
        <v>0</v>
      </c>
      <c r="R159" s="55"/>
      <c r="S159" s="58"/>
    </row>
    <row r="160" spans="1:19" x14ac:dyDescent="0.25">
      <c r="A160" s="54"/>
      <c r="B160" s="14"/>
      <c r="C160" s="55"/>
      <c r="D160" s="113" t="s">
        <v>448</v>
      </c>
      <c r="E160" s="80" t="s">
        <v>372</v>
      </c>
      <c r="F160" s="33">
        <v>0</v>
      </c>
      <c r="G160" s="65">
        <f>176600/12</f>
        <v>14716.666666666666</v>
      </c>
      <c r="H160" s="33">
        <v>0</v>
      </c>
      <c r="I160" s="65">
        <f>176600/12</f>
        <v>14716.666666666666</v>
      </c>
      <c r="J160" s="33">
        <v>0</v>
      </c>
      <c r="K160" s="65">
        <f>176600/12</f>
        <v>14716.666666666666</v>
      </c>
      <c r="L160" s="66">
        <f t="shared" si="21"/>
        <v>0</v>
      </c>
      <c r="M160" s="33">
        <f t="shared" si="22"/>
        <v>44150</v>
      </c>
      <c r="N160" s="67">
        <f t="shared" si="23"/>
        <v>0</v>
      </c>
      <c r="O160" s="66">
        <f>0+L160</f>
        <v>0</v>
      </c>
      <c r="P160" s="82">
        <f>44150+M160</f>
        <v>88300</v>
      </c>
      <c r="Q160" s="83">
        <f t="shared" si="24"/>
        <v>0</v>
      </c>
      <c r="R160" s="55"/>
      <c r="S160" s="58"/>
    </row>
    <row r="161" spans="1:19" x14ac:dyDescent="0.25">
      <c r="A161" s="54"/>
      <c r="B161" s="14"/>
      <c r="C161" s="55"/>
      <c r="D161" s="113" t="s">
        <v>449</v>
      </c>
      <c r="E161" s="80" t="s">
        <v>372</v>
      </c>
      <c r="F161" s="33">
        <v>67004.89</v>
      </c>
      <c r="G161" s="65">
        <f>823942/12</f>
        <v>68661.833333333328</v>
      </c>
      <c r="H161" s="33">
        <v>59828.14</v>
      </c>
      <c r="I161" s="65">
        <f>823942/12</f>
        <v>68661.833333333328</v>
      </c>
      <c r="J161" s="33">
        <v>0</v>
      </c>
      <c r="K161" s="65">
        <f>823942/12</f>
        <v>68661.833333333328</v>
      </c>
      <c r="L161" s="66">
        <f t="shared" si="21"/>
        <v>126833.03</v>
      </c>
      <c r="M161" s="33">
        <f t="shared" si="22"/>
        <v>205985.5</v>
      </c>
      <c r="N161" s="67">
        <f t="shared" si="23"/>
        <v>61.573766114605156</v>
      </c>
      <c r="O161" s="66">
        <f>190888.64+L161</f>
        <v>317721.67000000004</v>
      </c>
      <c r="P161" s="82">
        <f>205985.5+M161</f>
        <v>411971</v>
      </c>
      <c r="Q161" s="83">
        <f t="shared" si="24"/>
        <v>77.122338708307154</v>
      </c>
      <c r="R161" s="55"/>
      <c r="S161" s="58"/>
    </row>
    <row r="162" spans="1:19" x14ac:dyDescent="0.25">
      <c r="A162" s="54"/>
      <c r="B162" s="14"/>
      <c r="C162" s="55"/>
      <c r="D162" s="113" t="s">
        <v>450</v>
      </c>
      <c r="E162" s="80" t="s">
        <v>372</v>
      </c>
      <c r="F162" s="33">
        <v>21514.35</v>
      </c>
      <c r="G162" s="65">
        <f>458876/12</f>
        <v>38239.666666666664</v>
      </c>
      <c r="H162" s="33">
        <v>27633.88</v>
      </c>
      <c r="I162" s="65">
        <f>458876/12</f>
        <v>38239.666666666664</v>
      </c>
      <c r="J162" s="33"/>
      <c r="K162" s="65">
        <f>458876/12</f>
        <v>38239.666666666664</v>
      </c>
      <c r="L162" s="66">
        <f t="shared" si="21"/>
        <v>49148.229999999996</v>
      </c>
      <c r="M162" s="33">
        <f t="shared" si="22"/>
        <v>114719</v>
      </c>
      <c r="N162" s="67">
        <f t="shared" si="23"/>
        <v>42.842275473112558</v>
      </c>
      <c r="O162" s="66">
        <f>88304.96+L162</f>
        <v>137453.19</v>
      </c>
      <c r="P162" s="82">
        <f>114719+M162</f>
        <v>229438</v>
      </c>
      <c r="Q162" s="83">
        <f t="shared" si="24"/>
        <v>59.908641986070307</v>
      </c>
      <c r="R162" s="55"/>
      <c r="S162" s="58"/>
    </row>
    <row r="163" spans="1:19" x14ac:dyDescent="0.25">
      <c r="A163" s="54"/>
      <c r="B163" s="14"/>
      <c r="C163" s="55"/>
      <c r="D163" s="113" t="s">
        <v>451</v>
      </c>
      <c r="E163" s="80" t="s">
        <v>372</v>
      </c>
      <c r="F163" s="33">
        <v>82003.64</v>
      </c>
      <c r="G163" s="65">
        <f>801500/12</f>
        <v>66791.666666666672</v>
      </c>
      <c r="H163" s="33">
        <v>57674.13</v>
      </c>
      <c r="I163" s="65">
        <f>801500/12</f>
        <v>66791.666666666672</v>
      </c>
      <c r="J163" s="33"/>
      <c r="K163" s="65">
        <f>801500/12</f>
        <v>66791.666666666672</v>
      </c>
      <c r="L163" s="66">
        <f t="shared" si="21"/>
        <v>139677.76999999999</v>
      </c>
      <c r="M163" s="33">
        <f t="shared" si="22"/>
        <v>200375</v>
      </c>
      <c r="N163" s="67">
        <f t="shared" si="23"/>
        <v>69.708182158452885</v>
      </c>
      <c r="O163" s="66">
        <f>170390.87+L163</f>
        <v>310068.64</v>
      </c>
      <c r="P163" s="82">
        <f>200375+M163</f>
        <v>400750</v>
      </c>
      <c r="Q163" s="83">
        <f t="shared" si="24"/>
        <v>77.372087336244547</v>
      </c>
      <c r="R163" s="55"/>
      <c r="S163" s="58"/>
    </row>
    <row r="164" spans="1:19" x14ac:dyDescent="0.25">
      <c r="A164" s="54"/>
      <c r="B164" s="14"/>
      <c r="C164" s="55"/>
      <c r="D164" s="113" t="s">
        <v>452</v>
      </c>
      <c r="E164" s="80" t="s">
        <v>372</v>
      </c>
      <c r="F164" s="33">
        <v>406729.87</v>
      </c>
      <c r="G164" s="65">
        <f>3708000/12</f>
        <v>309000</v>
      </c>
      <c r="H164" s="33">
        <v>399420.64</v>
      </c>
      <c r="I164" s="65">
        <f>3708000/12</f>
        <v>309000</v>
      </c>
      <c r="J164" s="33"/>
      <c r="K164" s="65">
        <f>3708000/12</f>
        <v>309000</v>
      </c>
      <c r="L164" s="66">
        <f t="shared" si="21"/>
        <v>806150.51</v>
      </c>
      <c r="M164" s="33">
        <f t="shared" si="22"/>
        <v>927000</v>
      </c>
      <c r="N164" s="67">
        <f t="shared" si="23"/>
        <v>86.963377562028043</v>
      </c>
      <c r="O164" s="66">
        <f>854033.84+L164</f>
        <v>1660184.35</v>
      </c>
      <c r="P164" s="82">
        <f>927000+M164</f>
        <v>1854000</v>
      </c>
      <c r="Q164" s="83">
        <f t="shared" si="24"/>
        <v>89.5460814455232</v>
      </c>
      <c r="R164" s="55"/>
      <c r="S164" s="58"/>
    </row>
    <row r="165" spans="1:19" x14ac:dyDescent="0.25">
      <c r="A165" s="54"/>
      <c r="B165" s="14"/>
      <c r="C165" s="55"/>
      <c r="D165" s="113" t="s">
        <v>453</v>
      </c>
      <c r="E165" s="80" t="s">
        <v>372</v>
      </c>
      <c r="F165" s="33">
        <v>40081.19</v>
      </c>
      <c r="G165" s="65">
        <f>604460/12</f>
        <v>50371.666666666664</v>
      </c>
      <c r="H165" s="33">
        <v>39727.74</v>
      </c>
      <c r="I165" s="65">
        <f>604460/12</f>
        <v>50371.666666666664</v>
      </c>
      <c r="J165" s="33"/>
      <c r="K165" s="65">
        <f>604460/12</f>
        <v>50371.666666666664</v>
      </c>
      <c r="L165" s="66">
        <f t="shared" ref="L165:L199" si="25">+F165+H165+J165</f>
        <v>79808.929999999993</v>
      </c>
      <c r="M165" s="33">
        <f t="shared" ref="M165:M199" si="26">+G165+I165+K165</f>
        <v>151115</v>
      </c>
      <c r="N165" s="67">
        <f t="shared" si="23"/>
        <v>52.8133739205241</v>
      </c>
      <c r="O165" s="66">
        <f>117371.12+L165</f>
        <v>197180.05</v>
      </c>
      <c r="P165" s="82">
        <f>151115+M165</f>
        <v>302230</v>
      </c>
      <c r="Q165" s="83">
        <f t="shared" si="24"/>
        <v>65.241719882208912</v>
      </c>
      <c r="R165" s="55"/>
      <c r="S165" s="58"/>
    </row>
    <row r="166" spans="1:19" hidden="1" x14ac:dyDescent="0.25">
      <c r="A166" s="54"/>
      <c r="B166" s="14"/>
      <c r="C166" s="55"/>
      <c r="D166" s="113" t="s">
        <v>243</v>
      </c>
      <c r="E166" s="80" t="s">
        <v>349</v>
      </c>
      <c r="F166" s="33">
        <v>0</v>
      </c>
      <c r="G166" s="65">
        <v>4166.67</v>
      </c>
      <c r="H166" s="33">
        <v>0</v>
      </c>
      <c r="I166" s="65">
        <v>4166.67</v>
      </c>
      <c r="J166" s="33">
        <v>0</v>
      </c>
      <c r="K166" s="65">
        <v>4166.67</v>
      </c>
      <c r="L166" s="66">
        <f t="shared" si="25"/>
        <v>0</v>
      </c>
      <c r="M166" s="33">
        <f t="shared" si="26"/>
        <v>12500.01</v>
      </c>
      <c r="N166" s="67">
        <f t="shared" si="23"/>
        <v>0</v>
      </c>
      <c r="O166" s="66">
        <f>0+L166</f>
        <v>0</v>
      </c>
      <c r="P166" s="82">
        <f>12500+12500</f>
        <v>25000</v>
      </c>
      <c r="Q166" s="83">
        <f t="shared" si="24"/>
        <v>0</v>
      </c>
      <c r="R166" s="55"/>
      <c r="S166" s="58"/>
    </row>
    <row r="167" spans="1:19" hidden="1" x14ac:dyDescent="0.25">
      <c r="A167" s="54"/>
      <c r="B167" s="14"/>
      <c r="C167" s="55"/>
      <c r="D167" s="113" t="s">
        <v>244</v>
      </c>
      <c r="E167" s="80" t="s">
        <v>348</v>
      </c>
      <c r="F167" s="33"/>
      <c r="G167" s="65">
        <f>4200/12</f>
        <v>350</v>
      </c>
      <c r="H167" s="33"/>
      <c r="I167" s="65">
        <f>4200/12</f>
        <v>350</v>
      </c>
      <c r="J167" s="33"/>
      <c r="K167" s="65">
        <f>4200/12</f>
        <v>350</v>
      </c>
      <c r="L167" s="66">
        <f t="shared" si="25"/>
        <v>0</v>
      </c>
      <c r="M167" s="33">
        <f t="shared" si="26"/>
        <v>1050</v>
      </c>
      <c r="N167" s="67">
        <f t="shared" ref="N167:N198" si="27">+L167/M167*100</f>
        <v>0</v>
      </c>
      <c r="O167" s="66">
        <v>0</v>
      </c>
      <c r="P167" s="82">
        <f>1050+1050</f>
        <v>2100</v>
      </c>
      <c r="Q167" s="83">
        <f t="shared" ref="Q167:Q198" si="28">O167/P167*100</f>
        <v>0</v>
      </c>
      <c r="R167" s="55"/>
      <c r="S167" s="58"/>
    </row>
    <row r="168" spans="1:19" hidden="1" x14ac:dyDescent="0.25">
      <c r="A168" s="54"/>
      <c r="B168" s="14"/>
      <c r="C168" s="55"/>
      <c r="D168" s="113" t="s">
        <v>245</v>
      </c>
      <c r="E168" s="80" t="s">
        <v>350</v>
      </c>
      <c r="F168" s="33">
        <v>0</v>
      </c>
      <c r="G168" s="65">
        <f>13700/12</f>
        <v>1141.6666666666667</v>
      </c>
      <c r="H168" s="33">
        <v>0</v>
      </c>
      <c r="I168" s="65">
        <v>1141.6666666666667</v>
      </c>
      <c r="J168" s="33">
        <v>0</v>
      </c>
      <c r="K168" s="81">
        <v>1141.6666666666667</v>
      </c>
      <c r="L168" s="66">
        <f t="shared" si="25"/>
        <v>0</v>
      </c>
      <c r="M168" s="33">
        <f t="shared" si="26"/>
        <v>3425</v>
      </c>
      <c r="N168" s="67">
        <f t="shared" si="27"/>
        <v>0</v>
      </c>
      <c r="O168" s="66">
        <v>0</v>
      </c>
      <c r="P168" s="82">
        <f>3425+M168</f>
        <v>6850</v>
      </c>
      <c r="Q168" s="83">
        <f t="shared" si="28"/>
        <v>0</v>
      </c>
      <c r="R168" s="55"/>
      <c r="S168" s="58"/>
    </row>
    <row r="169" spans="1:19" hidden="1" x14ac:dyDescent="0.25">
      <c r="A169" s="54"/>
      <c r="B169" s="14"/>
      <c r="C169" s="55"/>
      <c r="D169" s="113" t="s">
        <v>246</v>
      </c>
      <c r="E169" s="80" t="s">
        <v>351</v>
      </c>
      <c r="F169" s="33">
        <v>0</v>
      </c>
      <c r="G169" s="65">
        <f>5550/12</f>
        <v>462.5</v>
      </c>
      <c r="H169" s="33">
        <v>0</v>
      </c>
      <c r="I169" s="65">
        <v>462.5</v>
      </c>
      <c r="J169" s="33">
        <v>0</v>
      </c>
      <c r="K169" s="81">
        <v>462.5</v>
      </c>
      <c r="L169" s="66">
        <f t="shared" si="25"/>
        <v>0</v>
      </c>
      <c r="M169" s="33">
        <f t="shared" si="26"/>
        <v>1387.5</v>
      </c>
      <c r="N169" s="67">
        <f t="shared" si="27"/>
        <v>0</v>
      </c>
      <c r="O169" s="66">
        <v>0</v>
      </c>
      <c r="P169" s="82">
        <f>1387.5+M169</f>
        <v>2775</v>
      </c>
      <c r="Q169" s="83">
        <f t="shared" si="28"/>
        <v>0</v>
      </c>
      <c r="R169" s="55"/>
      <c r="S169" s="58"/>
    </row>
    <row r="170" spans="1:19" hidden="1" x14ac:dyDescent="0.25">
      <c r="A170" s="54"/>
      <c r="B170" s="14"/>
      <c r="C170" s="55"/>
      <c r="D170" s="113" t="s">
        <v>247</v>
      </c>
      <c r="E170" s="80" t="s">
        <v>352</v>
      </c>
      <c r="F170" s="33">
        <v>329176.02</v>
      </c>
      <c r="G170" s="65">
        <f>4541900/12</f>
        <v>378491.66666666669</v>
      </c>
      <c r="H170" s="33">
        <v>329176.02</v>
      </c>
      <c r="I170" s="65">
        <v>378491.66666666669</v>
      </c>
      <c r="J170" s="33">
        <v>0</v>
      </c>
      <c r="K170" s="81">
        <v>378491.66666666669</v>
      </c>
      <c r="L170" s="66">
        <f t="shared" si="25"/>
        <v>658352.04</v>
      </c>
      <c r="M170" s="33">
        <f t="shared" si="26"/>
        <v>1135475</v>
      </c>
      <c r="N170" s="67">
        <f t="shared" si="27"/>
        <v>57.980320130341937</v>
      </c>
      <c r="O170" s="66">
        <f>987528.06+L170</f>
        <v>1645880.1</v>
      </c>
      <c r="P170" s="82">
        <f>1135475+M170</f>
        <v>2270950</v>
      </c>
      <c r="Q170" s="83">
        <f t="shared" si="28"/>
        <v>72.475400162927414</v>
      </c>
      <c r="R170" s="55"/>
      <c r="S170" s="58"/>
    </row>
    <row r="171" spans="1:19" hidden="1" x14ac:dyDescent="0.25">
      <c r="A171" s="54"/>
      <c r="B171" s="14"/>
      <c r="C171" s="55"/>
      <c r="D171" s="113" t="s">
        <v>248</v>
      </c>
      <c r="E171" s="80" t="s">
        <v>353</v>
      </c>
      <c r="F171" s="33">
        <v>2167446.9900000002</v>
      </c>
      <c r="G171" s="65">
        <f>26039401.26/12</f>
        <v>2169950.105</v>
      </c>
      <c r="H171" s="33">
        <v>1662421.03</v>
      </c>
      <c r="I171" s="65">
        <v>2169950.105</v>
      </c>
      <c r="J171" s="33">
        <v>0</v>
      </c>
      <c r="K171" s="81">
        <v>2169950.105</v>
      </c>
      <c r="L171" s="66">
        <f t="shared" si="25"/>
        <v>3829868.0200000005</v>
      </c>
      <c r="M171" s="33">
        <f t="shared" si="26"/>
        <v>6509850.3149999995</v>
      </c>
      <c r="N171" s="67">
        <f t="shared" si="27"/>
        <v>58.831890668441602</v>
      </c>
      <c r="O171" s="66">
        <f>4394073.35+L171</f>
        <v>8223941.3700000001</v>
      </c>
      <c r="P171" s="82">
        <f>6509850.315+M171</f>
        <v>13019700.629999999</v>
      </c>
      <c r="Q171" s="83">
        <f t="shared" si="28"/>
        <v>63.165364578739933</v>
      </c>
      <c r="R171" s="55"/>
      <c r="S171" s="58"/>
    </row>
    <row r="172" spans="1:19" x14ac:dyDescent="0.25">
      <c r="A172" s="54"/>
      <c r="B172" s="14"/>
      <c r="C172" s="55"/>
      <c r="D172" s="113" t="s">
        <v>454</v>
      </c>
      <c r="E172" s="80" t="s">
        <v>372</v>
      </c>
      <c r="F172" s="33">
        <v>14298.82</v>
      </c>
      <c r="G172" s="65">
        <f>169730/12</f>
        <v>14144.166666666666</v>
      </c>
      <c r="H172" s="33">
        <v>14298.82</v>
      </c>
      <c r="I172" s="65">
        <f>169730/12</f>
        <v>14144.166666666666</v>
      </c>
      <c r="J172" s="33"/>
      <c r="K172" s="65">
        <f>169730/12</f>
        <v>14144.166666666666</v>
      </c>
      <c r="L172" s="66">
        <f t="shared" si="25"/>
        <v>28597.64</v>
      </c>
      <c r="M172" s="33">
        <f t="shared" si="26"/>
        <v>42432.5</v>
      </c>
      <c r="N172" s="67">
        <f t="shared" si="27"/>
        <v>67.395604784068823</v>
      </c>
      <c r="O172" s="66">
        <f>35747.05+L172</f>
        <v>64344.69</v>
      </c>
      <c r="P172" s="82">
        <f>42432.5+M172</f>
        <v>84865</v>
      </c>
      <c r="Q172" s="83">
        <f t="shared" si="28"/>
        <v>75.820055382077427</v>
      </c>
      <c r="R172" s="55"/>
      <c r="S172" s="58"/>
    </row>
    <row r="173" spans="1:19" x14ac:dyDescent="0.25">
      <c r="A173" s="54"/>
      <c r="B173" s="14"/>
      <c r="C173" s="55"/>
      <c r="D173" s="113" t="s">
        <v>455</v>
      </c>
      <c r="E173" s="80" t="s">
        <v>372</v>
      </c>
      <c r="F173" s="33">
        <v>12876.02</v>
      </c>
      <c r="G173" s="65">
        <f>176600/12</f>
        <v>14716.666666666666</v>
      </c>
      <c r="H173" s="33">
        <v>12323.52</v>
      </c>
      <c r="I173" s="65">
        <f>176600/12</f>
        <v>14716.666666666666</v>
      </c>
      <c r="J173" s="33"/>
      <c r="K173" s="65">
        <f>176600/12</f>
        <v>14716.666666666666</v>
      </c>
      <c r="L173" s="66">
        <f t="shared" si="25"/>
        <v>25199.54</v>
      </c>
      <c r="M173" s="33">
        <f t="shared" si="26"/>
        <v>44150</v>
      </c>
      <c r="N173" s="67">
        <f t="shared" si="27"/>
        <v>57.077100792751992</v>
      </c>
      <c r="O173" s="66">
        <f>30808.8+L173</f>
        <v>56008.34</v>
      </c>
      <c r="P173" s="82">
        <f>44150+M173</f>
        <v>88300</v>
      </c>
      <c r="Q173" s="83">
        <f t="shared" si="28"/>
        <v>63.429603624009054</v>
      </c>
      <c r="R173" s="55"/>
      <c r="S173" s="58"/>
    </row>
    <row r="174" spans="1:19" x14ac:dyDescent="0.25">
      <c r="A174" s="54"/>
      <c r="B174" s="14"/>
      <c r="C174" s="55"/>
      <c r="D174" s="113" t="s">
        <v>456</v>
      </c>
      <c r="E174" s="80" t="s">
        <v>372</v>
      </c>
      <c r="F174" s="33">
        <v>21292.52</v>
      </c>
      <c r="G174" s="65">
        <f>466706/12</f>
        <v>38892.166666666664</v>
      </c>
      <c r="H174" s="33">
        <v>20937.63</v>
      </c>
      <c r="I174" s="65">
        <f>466706/12</f>
        <v>38892.166666666664</v>
      </c>
      <c r="J174" s="33"/>
      <c r="K174" s="65">
        <f>466706/12</f>
        <v>38892.166666666664</v>
      </c>
      <c r="L174" s="66">
        <f t="shared" si="25"/>
        <v>42230.15</v>
      </c>
      <c r="M174" s="33">
        <f t="shared" si="26"/>
        <v>116676.5</v>
      </c>
      <c r="N174" s="67">
        <f t="shared" si="27"/>
        <v>36.194220772820579</v>
      </c>
      <c r="O174" s="66">
        <f>54019.02+L174</f>
        <v>96249.17</v>
      </c>
      <c r="P174" s="82">
        <f>116676.5+M174</f>
        <v>233353</v>
      </c>
      <c r="Q174" s="83">
        <f t="shared" si="28"/>
        <v>41.246167822997776</v>
      </c>
      <c r="R174" s="55"/>
      <c r="S174" s="58"/>
    </row>
    <row r="175" spans="1:19" x14ac:dyDescent="0.25">
      <c r="A175" s="54"/>
      <c r="B175" s="14"/>
      <c r="C175" s="55"/>
      <c r="D175" s="113" t="s">
        <v>457</v>
      </c>
      <c r="E175" s="80" t="s">
        <v>372</v>
      </c>
      <c r="F175" s="33">
        <v>29888.3</v>
      </c>
      <c r="G175" s="65">
        <f>523293.5/12</f>
        <v>43607.791666666664</v>
      </c>
      <c r="H175" s="33">
        <v>39632.300000000003</v>
      </c>
      <c r="I175" s="65">
        <f>523293.5/12</f>
        <v>43607.791666666664</v>
      </c>
      <c r="J175" s="33"/>
      <c r="K175" s="65">
        <f>523293.5/12</f>
        <v>43607.791666666664</v>
      </c>
      <c r="L175" s="66">
        <f t="shared" si="25"/>
        <v>69520.600000000006</v>
      </c>
      <c r="M175" s="33">
        <f t="shared" si="26"/>
        <v>130823.375</v>
      </c>
      <c r="N175" s="67">
        <f t="shared" si="27"/>
        <v>53.140809125280562</v>
      </c>
      <c r="O175" s="66">
        <f>54794.75+L175</f>
        <v>124315.35</v>
      </c>
      <c r="P175" s="82">
        <f>130823.38+M175</f>
        <v>261646.755</v>
      </c>
      <c r="Q175" s="83">
        <f t="shared" si="28"/>
        <v>47.512666457491513</v>
      </c>
      <c r="R175" s="55"/>
      <c r="S175" s="58"/>
    </row>
    <row r="176" spans="1:19" x14ac:dyDescent="0.25">
      <c r="A176" s="54"/>
      <c r="B176" s="14"/>
      <c r="C176" s="55"/>
      <c r="D176" s="113" t="s">
        <v>458</v>
      </c>
      <c r="E176" s="80" t="s">
        <v>372</v>
      </c>
      <c r="F176" s="33">
        <v>22172.400000000001</v>
      </c>
      <c r="G176" s="65">
        <f>265600/12</f>
        <v>22133.333333333332</v>
      </c>
      <c r="H176" s="33">
        <v>13284</v>
      </c>
      <c r="I176" s="65">
        <f>265600/12</f>
        <v>22133.333333333332</v>
      </c>
      <c r="J176" s="33"/>
      <c r="K176" s="65">
        <f>265600/12</f>
        <v>22133.333333333332</v>
      </c>
      <c r="L176" s="66">
        <f t="shared" si="25"/>
        <v>35456.400000000001</v>
      </c>
      <c r="M176" s="33">
        <f t="shared" si="26"/>
        <v>66400</v>
      </c>
      <c r="N176" s="67">
        <f t="shared" si="27"/>
        <v>53.398192771084339</v>
      </c>
      <c r="O176" s="66">
        <f>48198.05+L176</f>
        <v>83654.450000000012</v>
      </c>
      <c r="P176" s="82">
        <f>66400+M176</f>
        <v>132800</v>
      </c>
      <c r="Q176" s="83">
        <f t="shared" si="28"/>
        <v>62.992808734939764</v>
      </c>
      <c r="R176" s="55"/>
      <c r="S176" s="58"/>
    </row>
    <row r="177" spans="1:19" x14ac:dyDescent="0.25">
      <c r="A177" s="54"/>
      <c r="B177" s="14"/>
      <c r="C177" s="55"/>
      <c r="D177" s="113" t="s">
        <v>459</v>
      </c>
      <c r="E177" s="80" t="s">
        <v>372</v>
      </c>
      <c r="F177" s="33">
        <v>22587.25</v>
      </c>
      <c r="G177" s="65">
        <f>327756/12</f>
        <v>27313</v>
      </c>
      <c r="H177" s="33">
        <v>41599.040000000001</v>
      </c>
      <c r="I177" s="65">
        <f>327756/12</f>
        <v>27313</v>
      </c>
      <c r="J177" s="33"/>
      <c r="K177" s="65">
        <f>327756/12</f>
        <v>27313</v>
      </c>
      <c r="L177" s="66">
        <f t="shared" si="25"/>
        <v>64186.29</v>
      </c>
      <c r="M177" s="33">
        <f t="shared" si="26"/>
        <v>81939</v>
      </c>
      <c r="N177" s="67">
        <f t="shared" si="27"/>
        <v>78.334236444184086</v>
      </c>
      <c r="O177" s="66">
        <f>33426.61+L177</f>
        <v>97612.9</v>
      </c>
      <c r="P177" s="82">
        <f>81939+M177</f>
        <v>163878</v>
      </c>
      <c r="Q177" s="83">
        <f t="shared" si="28"/>
        <v>59.564371056517651</v>
      </c>
      <c r="R177" s="55"/>
      <c r="S177" s="58"/>
    </row>
    <row r="178" spans="1:19" x14ac:dyDescent="0.25">
      <c r="A178" s="54"/>
      <c r="B178" s="14"/>
      <c r="C178" s="55"/>
      <c r="D178" s="113" t="s">
        <v>460</v>
      </c>
      <c r="E178" s="80" t="s">
        <v>372</v>
      </c>
      <c r="F178" s="33">
        <v>74066.880000000005</v>
      </c>
      <c r="G178" s="65">
        <f>794450/12</f>
        <v>66204.166666666672</v>
      </c>
      <c r="H178" s="65">
        <v>75777.279999999999</v>
      </c>
      <c r="I178" s="65">
        <f>794450/12</f>
        <v>66204.166666666672</v>
      </c>
      <c r="J178" s="33"/>
      <c r="K178" s="65">
        <f>794450/12</f>
        <v>66204.166666666672</v>
      </c>
      <c r="L178" s="66">
        <f t="shared" si="25"/>
        <v>149844.16</v>
      </c>
      <c r="M178" s="33">
        <f t="shared" si="26"/>
        <v>198612.5</v>
      </c>
      <c r="N178" s="67">
        <f t="shared" si="27"/>
        <v>75.44548303858015</v>
      </c>
      <c r="O178" s="66">
        <f>260109.1+L178</f>
        <v>409953.26</v>
      </c>
      <c r="P178" s="82">
        <f>198612.5+M178</f>
        <v>397225</v>
      </c>
      <c r="Q178" s="83">
        <f t="shared" si="28"/>
        <v>103.20429479514131</v>
      </c>
      <c r="R178" s="55"/>
      <c r="S178" s="58"/>
    </row>
    <row r="179" spans="1:19" x14ac:dyDescent="0.25">
      <c r="A179" s="54"/>
      <c r="B179" s="14"/>
      <c r="C179" s="55"/>
      <c r="D179" s="113" t="s">
        <v>461</v>
      </c>
      <c r="E179" s="80" t="s">
        <v>372</v>
      </c>
      <c r="F179" s="33">
        <v>34636.879999999997</v>
      </c>
      <c r="G179" s="65">
        <f>410450/12</f>
        <v>34204.166666666664</v>
      </c>
      <c r="H179" s="65">
        <v>31507.200000000001</v>
      </c>
      <c r="I179" s="65">
        <f>410450/12</f>
        <v>34204.166666666664</v>
      </c>
      <c r="J179" s="33"/>
      <c r="K179" s="65">
        <f>410450/12</f>
        <v>34204.166666666664</v>
      </c>
      <c r="L179" s="66">
        <f t="shared" si="25"/>
        <v>66144.08</v>
      </c>
      <c r="M179" s="33">
        <f t="shared" si="26"/>
        <v>102612.5</v>
      </c>
      <c r="N179" s="67">
        <f t="shared" si="27"/>
        <v>64.460060908758678</v>
      </c>
      <c r="O179" s="66">
        <f>81554.29+L179</f>
        <v>147698.37</v>
      </c>
      <c r="P179" s="82">
        <f>102612.5+M179</f>
        <v>205225</v>
      </c>
      <c r="Q179" s="83">
        <f t="shared" si="28"/>
        <v>71.968995005481787</v>
      </c>
      <c r="R179" s="55"/>
      <c r="S179" s="58"/>
    </row>
    <row r="180" spans="1:19" x14ac:dyDescent="0.25">
      <c r="A180" s="54"/>
      <c r="B180" s="14"/>
      <c r="C180" s="55"/>
      <c r="D180" s="113" t="s">
        <v>462</v>
      </c>
      <c r="E180" s="80" t="s">
        <v>372</v>
      </c>
      <c r="F180" s="33">
        <v>21420.38</v>
      </c>
      <c r="G180" s="65">
        <f>284250/12</f>
        <v>23687.5</v>
      </c>
      <c r="H180" s="65">
        <v>22805.4</v>
      </c>
      <c r="I180" s="65">
        <f>284250/12</f>
        <v>23687.5</v>
      </c>
      <c r="J180" s="33"/>
      <c r="K180" s="65">
        <f>284250/12</f>
        <v>23687.5</v>
      </c>
      <c r="L180" s="66">
        <f t="shared" si="25"/>
        <v>44225.78</v>
      </c>
      <c r="M180" s="33">
        <f t="shared" si="26"/>
        <v>71062.5</v>
      </c>
      <c r="N180" s="67">
        <f t="shared" si="27"/>
        <v>62.235046613896216</v>
      </c>
      <c r="O180" s="66">
        <f>53550.95+L180</f>
        <v>97776.73</v>
      </c>
      <c r="P180" s="82">
        <f>71062.5+M180</f>
        <v>142125</v>
      </c>
      <c r="Q180" s="83">
        <f t="shared" si="28"/>
        <v>68.796291996481955</v>
      </c>
      <c r="R180" s="55"/>
      <c r="S180" s="58"/>
    </row>
    <row r="181" spans="1:19" x14ac:dyDescent="0.25">
      <c r="A181" s="54"/>
      <c r="B181" s="14"/>
      <c r="C181" s="55"/>
      <c r="D181" s="113" t="s">
        <v>463</v>
      </c>
      <c r="E181" s="80" t="s">
        <v>372</v>
      </c>
      <c r="F181" s="33">
        <v>23545.08</v>
      </c>
      <c r="G181" s="65">
        <f>424500/12</f>
        <v>35375</v>
      </c>
      <c r="H181" s="65">
        <v>23545.08</v>
      </c>
      <c r="I181" s="65">
        <f>424500/12</f>
        <v>35375</v>
      </c>
      <c r="J181" s="33"/>
      <c r="K181" s="65">
        <f>424500/12</f>
        <v>35375</v>
      </c>
      <c r="L181" s="66">
        <f t="shared" si="25"/>
        <v>47090.16</v>
      </c>
      <c r="M181" s="33">
        <f t="shared" si="26"/>
        <v>106125</v>
      </c>
      <c r="N181" s="67">
        <f t="shared" si="27"/>
        <v>44.372353356890464</v>
      </c>
      <c r="O181" s="66">
        <f>61201.2+L181</f>
        <v>108291.36</v>
      </c>
      <c r="P181" s="82">
        <f t="shared" ref="P181:P188" si="29">M181*2</f>
        <v>212250</v>
      </c>
      <c r="Q181" s="83">
        <f t="shared" si="28"/>
        <v>51.020664310954068</v>
      </c>
      <c r="R181" s="55"/>
      <c r="S181" s="58"/>
    </row>
    <row r="182" spans="1:19" x14ac:dyDescent="0.25">
      <c r="A182" s="54"/>
      <c r="B182" s="14"/>
      <c r="C182" s="55"/>
      <c r="D182" s="113" t="s">
        <v>464</v>
      </c>
      <c r="E182" s="80" t="s">
        <v>372</v>
      </c>
      <c r="F182" s="33">
        <v>0</v>
      </c>
      <c r="G182" s="65">
        <f>287300/12</f>
        <v>23941.666666666668</v>
      </c>
      <c r="H182" s="65">
        <v>0</v>
      </c>
      <c r="I182" s="65">
        <f>287300/12</f>
        <v>23941.666666666668</v>
      </c>
      <c r="J182" s="33">
        <v>0</v>
      </c>
      <c r="K182" s="65">
        <f>287300/12</f>
        <v>23941.666666666668</v>
      </c>
      <c r="L182" s="66">
        <f t="shared" si="25"/>
        <v>0</v>
      </c>
      <c r="M182" s="33">
        <f t="shared" si="26"/>
        <v>71825</v>
      </c>
      <c r="N182" s="67">
        <f t="shared" si="27"/>
        <v>0</v>
      </c>
      <c r="O182" s="66">
        <v>0</v>
      </c>
      <c r="P182" s="82">
        <f t="shared" si="29"/>
        <v>143650</v>
      </c>
      <c r="Q182" s="83">
        <f t="shared" si="28"/>
        <v>0</v>
      </c>
      <c r="R182" s="55"/>
      <c r="S182" s="58"/>
    </row>
    <row r="183" spans="1:19" x14ac:dyDescent="0.25">
      <c r="A183" s="54"/>
      <c r="B183" s="14"/>
      <c r="C183" s="55"/>
      <c r="D183" s="113" t="s">
        <v>465</v>
      </c>
      <c r="E183" s="80" t="s">
        <v>372</v>
      </c>
      <c r="F183" s="33">
        <v>28237.7</v>
      </c>
      <c r="G183" s="65">
        <f>467300/12</f>
        <v>38941.666666666664</v>
      </c>
      <c r="H183" s="33">
        <v>28237.7</v>
      </c>
      <c r="I183" s="65">
        <f>467300/12</f>
        <v>38941.666666666664</v>
      </c>
      <c r="J183" s="33"/>
      <c r="K183" s="65">
        <f>467300/12</f>
        <v>38941.666666666664</v>
      </c>
      <c r="L183" s="66">
        <f t="shared" si="25"/>
        <v>56475.4</v>
      </c>
      <c r="M183" s="33">
        <f t="shared" si="26"/>
        <v>116825</v>
      </c>
      <c r="N183" s="67">
        <f t="shared" si="27"/>
        <v>48.341878878664666</v>
      </c>
      <c r="O183" s="66">
        <f>72024.08+L183</f>
        <v>128499.48000000001</v>
      </c>
      <c r="P183" s="82">
        <f t="shared" si="29"/>
        <v>233650</v>
      </c>
      <c r="Q183" s="83">
        <f t="shared" si="28"/>
        <v>54.996567515514663</v>
      </c>
      <c r="R183" s="55"/>
      <c r="S183" s="58"/>
    </row>
    <row r="184" spans="1:19" x14ac:dyDescent="0.25">
      <c r="A184" s="54"/>
      <c r="B184" s="14"/>
      <c r="C184" s="55"/>
      <c r="D184" s="113" t="s">
        <v>466</v>
      </c>
      <c r="E184" s="80" t="s">
        <v>372</v>
      </c>
      <c r="F184" s="33">
        <v>22225.96</v>
      </c>
      <c r="G184" s="65">
        <f>335400/12</f>
        <v>27950</v>
      </c>
      <c r="H184" s="33">
        <v>21332.5</v>
      </c>
      <c r="I184" s="65">
        <f>335400/12</f>
        <v>27950</v>
      </c>
      <c r="J184" s="33"/>
      <c r="K184" s="65">
        <f>335400/12</f>
        <v>27950</v>
      </c>
      <c r="L184" s="66">
        <f t="shared" si="25"/>
        <v>43558.46</v>
      </c>
      <c r="M184" s="33">
        <f t="shared" si="26"/>
        <v>83850</v>
      </c>
      <c r="N184" s="67">
        <f t="shared" si="27"/>
        <v>51.948073941562313</v>
      </c>
      <c r="O184" s="66">
        <f>53331.25+L184</f>
        <v>96889.709999999992</v>
      </c>
      <c r="P184" s="82">
        <f t="shared" si="29"/>
        <v>167700</v>
      </c>
      <c r="Q184" s="83">
        <f t="shared" si="28"/>
        <v>57.77561717352414</v>
      </c>
      <c r="R184" s="55"/>
      <c r="S184" s="58"/>
    </row>
    <row r="185" spans="1:19" x14ac:dyDescent="0.25">
      <c r="A185" s="54"/>
      <c r="B185" s="14"/>
      <c r="C185" s="55"/>
      <c r="D185" s="113" t="s">
        <v>467</v>
      </c>
      <c r="E185" s="80" t="s">
        <v>372</v>
      </c>
      <c r="F185" s="33">
        <v>14177.46</v>
      </c>
      <c r="G185" s="65">
        <f>342500/12</f>
        <v>28541.666666666668</v>
      </c>
      <c r="H185" s="33">
        <v>13284</v>
      </c>
      <c r="I185" s="65">
        <f>342500/12</f>
        <v>28541.666666666668</v>
      </c>
      <c r="J185" s="33"/>
      <c r="K185" s="65">
        <f>342500/12</f>
        <v>28541.666666666668</v>
      </c>
      <c r="L185" s="66">
        <f t="shared" si="25"/>
        <v>27461.46</v>
      </c>
      <c r="M185" s="33">
        <f t="shared" si="26"/>
        <v>85625</v>
      </c>
      <c r="N185" s="67">
        <f t="shared" si="27"/>
        <v>32.071778102189782</v>
      </c>
      <c r="O185" s="66">
        <f>33210+L185</f>
        <v>60671.46</v>
      </c>
      <c r="P185" s="82">
        <f t="shared" si="29"/>
        <v>171250</v>
      </c>
      <c r="Q185" s="83">
        <f t="shared" si="28"/>
        <v>35.428589781021898</v>
      </c>
      <c r="R185" s="55"/>
      <c r="S185" s="58"/>
    </row>
    <row r="186" spans="1:19" x14ac:dyDescent="0.25">
      <c r="A186" s="54"/>
      <c r="B186" s="14"/>
      <c r="C186" s="55"/>
      <c r="D186" s="113" t="s">
        <v>468</v>
      </c>
      <c r="E186" s="80" t="s">
        <v>372</v>
      </c>
      <c r="F186" s="33">
        <v>13284</v>
      </c>
      <c r="G186" s="65">
        <f>324200/12</f>
        <v>27016.666666666668</v>
      </c>
      <c r="H186" s="33">
        <v>13284</v>
      </c>
      <c r="I186" s="65">
        <f>324200/12</f>
        <v>27016.666666666668</v>
      </c>
      <c r="J186" s="33"/>
      <c r="K186" s="65">
        <f>324200/12</f>
        <v>27016.666666666668</v>
      </c>
      <c r="L186" s="66">
        <f t="shared" si="25"/>
        <v>26568</v>
      </c>
      <c r="M186" s="33">
        <f t="shared" si="26"/>
        <v>81050</v>
      </c>
      <c r="N186" s="67">
        <f t="shared" si="27"/>
        <v>32.779765576804444</v>
      </c>
      <c r="O186" s="66">
        <f>13284+L186</f>
        <v>39852</v>
      </c>
      <c r="P186" s="82">
        <f t="shared" si="29"/>
        <v>162100</v>
      </c>
      <c r="Q186" s="83">
        <f t="shared" si="28"/>
        <v>24.584824182603331</v>
      </c>
      <c r="R186" s="55"/>
      <c r="S186" s="58"/>
    </row>
    <row r="187" spans="1:19" x14ac:dyDescent="0.25">
      <c r="A187" s="54"/>
      <c r="B187" s="14"/>
      <c r="C187" s="55"/>
      <c r="D187" s="113" t="s">
        <v>469</v>
      </c>
      <c r="E187" s="80" t="s">
        <v>372</v>
      </c>
      <c r="F187" s="33">
        <v>66741.53</v>
      </c>
      <c r="G187" s="65">
        <f>844892/12</f>
        <v>70407.666666666672</v>
      </c>
      <c r="H187" s="33">
        <v>64159.24</v>
      </c>
      <c r="I187" s="65">
        <f>844892/12</f>
        <v>70407.666666666672</v>
      </c>
      <c r="J187" s="33"/>
      <c r="K187" s="65">
        <f>844892/12</f>
        <v>70407.666666666672</v>
      </c>
      <c r="L187" s="66">
        <f t="shared" si="25"/>
        <v>130900.76999999999</v>
      </c>
      <c r="M187" s="33">
        <f t="shared" si="26"/>
        <v>211223</v>
      </c>
      <c r="N187" s="67">
        <f t="shared" si="27"/>
        <v>61.972782320107179</v>
      </c>
      <c r="O187" s="66">
        <f>202934+L187</f>
        <v>333834.77</v>
      </c>
      <c r="P187" s="82">
        <f t="shared" si="29"/>
        <v>422446</v>
      </c>
      <c r="Q187" s="83">
        <f t="shared" si="28"/>
        <v>79.02424688599254</v>
      </c>
      <c r="R187" s="55"/>
      <c r="S187" s="58"/>
    </row>
    <row r="188" spans="1:19" x14ac:dyDescent="0.25">
      <c r="A188" s="54"/>
      <c r="B188" s="14"/>
      <c r="C188" s="55"/>
      <c r="D188" s="113" t="s">
        <v>470</v>
      </c>
      <c r="E188" s="80" t="s">
        <v>372</v>
      </c>
      <c r="F188" s="33">
        <v>0</v>
      </c>
      <c r="G188" s="65">
        <f>176600/12</f>
        <v>14716.666666666666</v>
      </c>
      <c r="H188" s="33">
        <v>0</v>
      </c>
      <c r="I188" s="65">
        <f>176600/12</f>
        <v>14716.666666666666</v>
      </c>
      <c r="J188" s="33">
        <v>0</v>
      </c>
      <c r="K188" s="65">
        <f>176600/12</f>
        <v>14716.666666666666</v>
      </c>
      <c r="L188" s="66">
        <f t="shared" si="25"/>
        <v>0</v>
      </c>
      <c r="M188" s="33">
        <f t="shared" si="26"/>
        <v>44150</v>
      </c>
      <c r="N188" s="67">
        <f t="shared" si="27"/>
        <v>0</v>
      </c>
      <c r="O188" s="66">
        <f>0+L188</f>
        <v>0</v>
      </c>
      <c r="P188" s="82">
        <f t="shared" si="29"/>
        <v>88300</v>
      </c>
      <c r="Q188" s="83">
        <f t="shared" si="28"/>
        <v>0</v>
      </c>
      <c r="R188" s="55"/>
      <c r="S188" s="58"/>
    </row>
    <row r="189" spans="1:19" hidden="1" x14ac:dyDescent="0.25">
      <c r="A189" s="54"/>
      <c r="B189" s="14"/>
      <c r="C189" s="55"/>
      <c r="D189" s="112" t="s">
        <v>249</v>
      </c>
      <c r="E189" s="64" t="s">
        <v>354</v>
      </c>
      <c r="F189" s="65">
        <v>50000</v>
      </c>
      <c r="G189" s="65">
        <f>+I189</f>
        <v>12500</v>
      </c>
      <c r="H189" s="65">
        <v>12500</v>
      </c>
      <c r="I189" s="65">
        <v>12500</v>
      </c>
      <c r="J189" s="65">
        <v>0</v>
      </c>
      <c r="K189" s="65">
        <v>12500</v>
      </c>
      <c r="L189" s="66">
        <f t="shared" si="25"/>
        <v>62500</v>
      </c>
      <c r="M189" s="33">
        <f t="shared" si="26"/>
        <v>37500</v>
      </c>
      <c r="N189" s="67">
        <f t="shared" si="27"/>
        <v>166.66666666666669</v>
      </c>
      <c r="O189" s="66">
        <f>0+L189</f>
        <v>62500</v>
      </c>
      <c r="P189" s="82">
        <f>37500+M189</f>
        <v>75000</v>
      </c>
      <c r="Q189" s="83">
        <f t="shared" si="28"/>
        <v>83.333333333333343</v>
      </c>
      <c r="R189" s="55"/>
      <c r="S189" s="58"/>
    </row>
    <row r="190" spans="1:19" hidden="1" x14ac:dyDescent="0.25">
      <c r="A190" s="54"/>
      <c r="B190" s="14"/>
      <c r="C190" s="55"/>
      <c r="D190" s="112" t="s">
        <v>250</v>
      </c>
      <c r="E190" s="64" t="s">
        <v>355</v>
      </c>
      <c r="F190" s="65">
        <v>0</v>
      </c>
      <c r="G190" s="65">
        <f>(136000+172890)/12</f>
        <v>25740.833333333332</v>
      </c>
      <c r="H190" s="65">
        <v>41282.639999999999</v>
      </c>
      <c r="I190" s="65">
        <f>(136000+172890)/12</f>
        <v>25740.833333333332</v>
      </c>
      <c r="J190" s="65">
        <v>0</v>
      </c>
      <c r="K190" s="65">
        <f>(136000+172890)/12</f>
        <v>25740.833333333332</v>
      </c>
      <c r="L190" s="66">
        <f t="shared" si="25"/>
        <v>41282.639999999999</v>
      </c>
      <c r="M190" s="33">
        <f t="shared" si="26"/>
        <v>77222.5</v>
      </c>
      <c r="N190" s="67">
        <f t="shared" si="27"/>
        <v>53.45934151316002</v>
      </c>
      <c r="O190" s="66">
        <f>0+L190</f>
        <v>41282.639999999999</v>
      </c>
      <c r="P190" s="82">
        <f>34000+M190</f>
        <v>111222.5</v>
      </c>
      <c r="Q190" s="83">
        <f t="shared" si="28"/>
        <v>37.117166041043852</v>
      </c>
      <c r="R190" s="55"/>
      <c r="S190" s="58"/>
    </row>
    <row r="191" spans="1:19" hidden="1" x14ac:dyDescent="0.25">
      <c r="A191" s="54"/>
      <c r="B191" s="14"/>
      <c r="C191" s="55"/>
      <c r="D191" s="112" t="s">
        <v>251</v>
      </c>
      <c r="E191" s="64" t="s">
        <v>58</v>
      </c>
      <c r="F191" s="65">
        <v>0</v>
      </c>
      <c r="G191" s="65">
        <f>302632/12</f>
        <v>25219.333333333332</v>
      </c>
      <c r="H191" s="65">
        <v>0</v>
      </c>
      <c r="I191" s="65">
        <f>302632/12</f>
        <v>25219.333333333332</v>
      </c>
      <c r="J191" s="65">
        <v>0</v>
      </c>
      <c r="K191" s="65">
        <f>302632/12</f>
        <v>25219.333333333332</v>
      </c>
      <c r="L191" s="66">
        <f t="shared" si="25"/>
        <v>0</v>
      </c>
      <c r="M191" s="33">
        <f t="shared" si="26"/>
        <v>75658</v>
      </c>
      <c r="N191" s="67">
        <f t="shared" si="27"/>
        <v>0</v>
      </c>
      <c r="O191" s="66">
        <f>0+L191</f>
        <v>0</v>
      </c>
      <c r="P191" s="82">
        <f>30263.2+M191</f>
        <v>105921.2</v>
      </c>
      <c r="Q191" s="83">
        <f t="shared" si="28"/>
        <v>0</v>
      </c>
      <c r="R191" s="55"/>
      <c r="S191" s="58"/>
    </row>
    <row r="192" spans="1:19" hidden="1" x14ac:dyDescent="0.25">
      <c r="A192" s="54"/>
      <c r="B192" s="14"/>
      <c r="C192" s="55"/>
      <c r="D192" s="112" t="s">
        <v>252</v>
      </c>
      <c r="E192" s="64" t="s">
        <v>356</v>
      </c>
      <c r="F192" s="65">
        <v>0</v>
      </c>
      <c r="G192" s="65">
        <f>472100/12</f>
        <v>39341.666666666664</v>
      </c>
      <c r="H192" s="65">
        <v>0</v>
      </c>
      <c r="I192" s="65">
        <f>472100/12</f>
        <v>39341.666666666664</v>
      </c>
      <c r="J192" s="65">
        <v>0</v>
      </c>
      <c r="K192" s="65">
        <f>472100/12</f>
        <v>39341.666666666664</v>
      </c>
      <c r="L192" s="66">
        <f t="shared" si="25"/>
        <v>0</v>
      </c>
      <c r="M192" s="33">
        <f t="shared" si="26"/>
        <v>118025</v>
      </c>
      <c r="N192" s="67">
        <f t="shared" si="27"/>
        <v>0</v>
      </c>
      <c r="O192" s="66">
        <f>0+L192</f>
        <v>0</v>
      </c>
      <c r="P192" s="82">
        <f>47210+M192</f>
        <v>165235</v>
      </c>
      <c r="Q192" s="83">
        <f t="shared" si="28"/>
        <v>0</v>
      </c>
      <c r="R192" s="55"/>
      <c r="S192" s="58"/>
    </row>
    <row r="193" spans="1:19" hidden="1" x14ac:dyDescent="0.25">
      <c r="A193" s="54"/>
      <c r="B193" s="14"/>
      <c r="C193" s="55"/>
      <c r="D193" s="112" t="s">
        <v>253</v>
      </c>
      <c r="E193" s="64" t="s">
        <v>357</v>
      </c>
      <c r="F193" s="65">
        <v>0</v>
      </c>
      <c r="G193" s="65">
        <f>1000000/12</f>
        <v>83333.333333333328</v>
      </c>
      <c r="H193" s="65">
        <v>0</v>
      </c>
      <c r="I193" s="65">
        <f>1000000/12</f>
        <v>83333.333333333328</v>
      </c>
      <c r="J193" s="65">
        <v>0</v>
      </c>
      <c r="K193" s="65">
        <f>1000000/12</f>
        <v>83333.333333333328</v>
      </c>
      <c r="L193" s="66">
        <f t="shared" si="25"/>
        <v>0</v>
      </c>
      <c r="M193" s="33">
        <f t="shared" si="26"/>
        <v>250000</v>
      </c>
      <c r="N193" s="67">
        <f t="shared" si="27"/>
        <v>0</v>
      </c>
      <c r="O193" s="66">
        <v>0</v>
      </c>
      <c r="P193" s="82">
        <f>M193*2</f>
        <v>500000</v>
      </c>
      <c r="Q193" s="83">
        <f t="shared" si="28"/>
        <v>0</v>
      </c>
      <c r="R193" s="55"/>
      <c r="S193" s="58"/>
    </row>
    <row r="194" spans="1:19" hidden="1" x14ac:dyDescent="0.25">
      <c r="A194" s="54"/>
      <c r="B194" s="14"/>
      <c r="C194" s="55"/>
      <c r="D194" s="112" t="s">
        <v>254</v>
      </c>
      <c r="E194" s="64" t="s">
        <v>358</v>
      </c>
      <c r="F194" s="65">
        <v>0</v>
      </c>
      <c r="G194" s="65">
        <f>7779300/12</f>
        <v>648275</v>
      </c>
      <c r="H194" s="65">
        <v>210000</v>
      </c>
      <c r="I194" s="65">
        <f>7779300/12</f>
        <v>648275</v>
      </c>
      <c r="J194" s="65">
        <v>0</v>
      </c>
      <c r="K194" s="65">
        <f>7779300/12</f>
        <v>648275</v>
      </c>
      <c r="L194" s="66">
        <f t="shared" si="25"/>
        <v>210000</v>
      </c>
      <c r="M194" s="33">
        <f t="shared" si="26"/>
        <v>1944825</v>
      </c>
      <c r="N194" s="67">
        <f t="shared" si="27"/>
        <v>10.797886699317418</v>
      </c>
      <c r="O194" s="66">
        <f>0+L194</f>
        <v>210000</v>
      </c>
      <c r="P194" s="82">
        <f>M194*2</f>
        <v>3889650</v>
      </c>
      <c r="Q194" s="83">
        <f t="shared" si="28"/>
        <v>5.3989433496587091</v>
      </c>
      <c r="R194" s="55"/>
      <c r="S194" s="58"/>
    </row>
    <row r="195" spans="1:19" hidden="1" x14ac:dyDescent="0.25">
      <c r="A195" s="54"/>
      <c r="B195" s="14"/>
      <c r="C195" s="55"/>
      <c r="D195" s="112" t="s">
        <v>255</v>
      </c>
      <c r="E195" s="64" t="s">
        <v>359</v>
      </c>
      <c r="F195" s="65">
        <v>0</v>
      </c>
      <c r="G195" s="65">
        <f>300000/12</f>
        <v>25000</v>
      </c>
      <c r="H195" s="65">
        <v>0</v>
      </c>
      <c r="I195" s="65">
        <f>300000/12</f>
        <v>25000</v>
      </c>
      <c r="J195" s="65">
        <v>0</v>
      </c>
      <c r="K195" s="65">
        <f>300000/12</f>
        <v>25000</v>
      </c>
      <c r="L195" s="66">
        <f t="shared" si="25"/>
        <v>0</v>
      </c>
      <c r="M195" s="33">
        <f t="shared" si="26"/>
        <v>75000</v>
      </c>
      <c r="N195" s="67">
        <f t="shared" si="27"/>
        <v>0</v>
      </c>
      <c r="O195" s="66">
        <f>0+L195</f>
        <v>0</v>
      </c>
      <c r="P195" s="82">
        <f>M195*2</f>
        <v>150000</v>
      </c>
      <c r="Q195" s="83">
        <f t="shared" si="28"/>
        <v>0</v>
      </c>
      <c r="R195" s="55"/>
      <c r="S195" s="58"/>
    </row>
    <row r="196" spans="1:19" hidden="1" x14ac:dyDescent="0.25">
      <c r="A196" s="54"/>
      <c r="B196" s="14"/>
      <c r="C196" s="55"/>
      <c r="D196" s="112" t="s">
        <v>256</v>
      </c>
      <c r="E196" s="64" t="s">
        <v>360</v>
      </c>
      <c r="F196" s="65">
        <v>0</v>
      </c>
      <c r="G196" s="65">
        <f>145968/12</f>
        <v>12164</v>
      </c>
      <c r="H196" s="65">
        <v>0</v>
      </c>
      <c r="I196" s="65">
        <f>145968/12</f>
        <v>12164</v>
      </c>
      <c r="J196" s="65">
        <v>0</v>
      </c>
      <c r="K196" s="65">
        <f>145968/12</f>
        <v>12164</v>
      </c>
      <c r="L196" s="66">
        <f t="shared" si="25"/>
        <v>0</v>
      </c>
      <c r="M196" s="33">
        <f t="shared" si="26"/>
        <v>36492</v>
      </c>
      <c r="N196" s="67">
        <f t="shared" si="27"/>
        <v>0</v>
      </c>
      <c r="O196" s="66">
        <f>0+L196</f>
        <v>0</v>
      </c>
      <c r="P196" s="82">
        <f>M196*2</f>
        <v>72984</v>
      </c>
      <c r="Q196" s="83">
        <f t="shared" si="28"/>
        <v>0</v>
      </c>
      <c r="R196" s="55"/>
      <c r="S196" s="58"/>
    </row>
    <row r="197" spans="1:19" hidden="1" x14ac:dyDescent="0.25">
      <c r="A197" s="54"/>
      <c r="B197" s="14"/>
      <c r="C197" s="55"/>
      <c r="D197" s="112" t="s">
        <v>257</v>
      </c>
      <c r="E197" s="64" t="s">
        <v>361</v>
      </c>
      <c r="F197" s="65">
        <v>0</v>
      </c>
      <c r="G197" s="65">
        <f>+I197</f>
        <v>15795.966666666667</v>
      </c>
      <c r="H197" s="65">
        <v>0</v>
      </c>
      <c r="I197" s="65">
        <v>15795.966666666667</v>
      </c>
      <c r="J197" s="65">
        <v>0</v>
      </c>
      <c r="K197" s="65">
        <v>15795.966666666667</v>
      </c>
      <c r="L197" s="66">
        <f t="shared" si="25"/>
        <v>0</v>
      </c>
      <c r="M197" s="33">
        <f t="shared" si="26"/>
        <v>47387.9</v>
      </c>
      <c r="N197" s="67">
        <f t="shared" si="27"/>
        <v>0</v>
      </c>
      <c r="O197" s="66">
        <v>0</v>
      </c>
      <c r="P197" s="82">
        <f>47387.9+M197</f>
        <v>94775.8</v>
      </c>
      <c r="Q197" s="83">
        <f t="shared" si="28"/>
        <v>0</v>
      </c>
      <c r="R197" s="55"/>
      <c r="S197" s="58"/>
    </row>
    <row r="198" spans="1:19" hidden="1" x14ac:dyDescent="0.25">
      <c r="A198" s="54"/>
      <c r="B198" s="14"/>
      <c r="C198" s="55"/>
      <c r="D198" s="112" t="s">
        <v>258</v>
      </c>
      <c r="E198" s="64" t="s">
        <v>362</v>
      </c>
      <c r="F198" s="65">
        <v>0</v>
      </c>
      <c r="G198" s="65">
        <f>+I198</f>
        <v>16666.666666666668</v>
      </c>
      <c r="H198" s="65">
        <v>0</v>
      </c>
      <c r="I198" s="65">
        <v>16666.666666666668</v>
      </c>
      <c r="J198" s="65">
        <v>0</v>
      </c>
      <c r="K198" s="65">
        <v>16666.666666666668</v>
      </c>
      <c r="L198" s="66">
        <f t="shared" si="25"/>
        <v>0</v>
      </c>
      <c r="M198" s="33">
        <f t="shared" si="26"/>
        <v>50000</v>
      </c>
      <c r="N198" s="67">
        <f t="shared" si="27"/>
        <v>0</v>
      </c>
      <c r="O198" s="66">
        <v>0</v>
      </c>
      <c r="P198" s="82">
        <f>50000+M198</f>
        <v>100000</v>
      </c>
      <c r="Q198" s="83">
        <f t="shared" si="28"/>
        <v>0</v>
      </c>
      <c r="R198" s="55"/>
      <c r="S198" s="58"/>
    </row>
    <row r="199" spans="1:19" hidden="1" x14ac:dyDescent="0.25">
      <c r="A199" s="54"/>
      <c r="B199" s="14"/>
      <c r="C199" s="55"/>
      <c r="D199" s="112" t="s">
        <v>471</v>
      </c>
      <c r="E199" s="64" t="s">
        <v>472</v>
      </c>
      <c r="F199" s="65">
        <v>0</v>
      </c>
      <c r="G199" s="65">
        <f>20000/12</f>
        <v>1666.6666666666667</v>
      </c>
      <c r="H199" s="65"/>
      <c r="I199" s="65">
        <f>20000/12</f>
        <v>1666.6666666666667</v>
      </c>
      <c r="J199" s="65"/>
      <c r="K199" s="65">
        <f>20000/12</f>
        <v>1666.6666666666667</v>
      </c>
      <c r="L199" s="66">
        <f t="shared" si="25"/>
        <v>0</v>
      </c>
      <c r="M199" s="33">
        <f t="shared" si="26"/>
        <v>5000</v>
      </c>
      <c r="N199" s="67">
        <f t="shared" ref="N199:N209" si="30">+L199/M199*100</f>
        <v>0</v>
      </c>
      <c r="O199" s="66">
        <f>0+L199</f>
        <v>0</v>
      </c>
      <c r="P199" s="82">
        <f>M199*2</f>
        <v>10000</v>
      </c>
      <c r="Q199" s="83">
        <f t="shared" ref="Q199:Q209" si="31">O199/P199*100</f>
        <v>0</v>
      </c>
      <c r="R199" s="55"/>
      <c r="S199" s="58"/>
    </row>
    <row r="200" spans="1:19" hidden="1" x14ac:dyDescent="0.25">
      <c r="A200" s="54"/>
      <c r="B200" s="14"/>
      <c r="C200" s="55"/>
      <c r="D200" s="112" t="s">
        <v>473</v>
      </c>
      <c r="E200" s="64" t="s">
        <v>474</v>
      </c>
      <c r="F200" s="65">
        <v>0</v>
      </c>
      <c r="G200" s="65">
        <f>2000000/12</f>
        <v>166666.66666666666</v>
      </c>
      <c r="H200" s="65">
        <v>613834.99</v>
      </c>
      <c r="I200" s="65">
        <f>2000000/12</f>
        <v>166666.66666666666</v>
      </c>
      <c r="J200" s="65"/>
      <c r="K200" s="65">
        <f>2000000/12</f>
        <v>166666.66666666666</v>
      </c>
      <c r="L200" s="66">
        <f t="shared" ref="L200:L209" si="32">+F200+H200+J200</f>
        <v>613834.99</v>
      </c>
      <c r="M200" s="65">
        <f>2000000/12</f>
        <v>166666.66666666666</v>
      </c>
      <c r="N200" s="67">
        <f t="shared" si="30"/>
        <v>368.300994</v>
      </c>
      <c r="O200" s="66">
        <f>0+L200</f>
        <v>613834.99</v>
      </c>
      <c r="P200" s="82">
        <f>M200*2</f>
        <v>333333.33333333331</v>
      </c>
      <c r="Q200" s="83">
        <f t="shared" si="31"/>
        <v>184.150497</v>
      </c>
      <c r="R200" s="55"/>
      <c r="S200" s="58"/>
    </row>
    <row r="201" spans="1:19" hidden="1" x14ac:dyDescent="0.25">
      <c r="A201" s="54"/>
      <c r="B201" s="14"/>
      <c r="C201" s="55"/>
      <c r="D201" s="112" t="s">
        <v>259</v>
      </c>
      <c r="E201" s="64" t="s">
        <v>363</v>
      </c>
      <c r="F201" s="65">
        <v>19146.66</v>
      </c>
      <c r="G201" s="65">
        <f>+I201</f>
        <v>37500</v>
      </c>
      <c r="H201" s="65">
        <v>47297.07</v>
      </c>
      <c r="I201" s="65">
        <v>37500</v>
      </c>
      <c r="J201" s="65">
        <v>0</v>
      </c>
      <c r="K201" s="65">
        <v>37500</v>
      </c>
      <c r="L201" s="66">
        <f t="shared" si="32"/>
        <v>66443.73</v>
      </c>
      <c r="M201" s="33">
        <f t="shared" ref="M201:M209" si="33">+G201+I201+K201</f>
        <v>112500</v>
      </c>
      <c r="N201" s="67">
        <f t="shared" si="30"/>
        <v>59.061093333333325</v>
      </c>
      <c r="O201" s="66">
        <f>126730.65+L201</f>
        <v>193174.38</v>
      </c>
      <c r="P201" s="82">
        <f>112500+M201</f>
        <v>225000</v>
      </c>
      <c r="Q201" s="83">
        <f t="shared" si="31"/>
        <v>85.855279999999993</v>
      </c>
      <c r="R201" s="55"/>
      <c r="S201" s="58"/>
    </row>
    <row r="202" spans="1:19" hidden="1" x14ac:dyDescent="0.25">
      <c r="A202" s="54"/>
      <c r="B202" s="14"/>
      <c r="C202" s="55"/>
      <c r="D202" s="112" t="s">
        <v>63</v>
      </c>
      <c r="E202" s="64" t="s">
        <v>364</v>
      </c>
      <c r="F202" s="65">
        <v>0</v>
      </c>
      <c r="G202" s="65">
        <f>+I202</f>
        <v>8333.3333333333339</v>
      </c>
      <c r="H202" s="65">
        <v>0</v>
      </c>
      <c r="I202" s="65">
        <v>8333.3333333333339</v>
      </c>
      <c r="J202" s="65">
        <v>0</v>
      </c>
      <c r="K202" s="65">
        <v>8333.3333333333339</v>
      </c>
      <c r="L202" s="66">
        <f t="shared" si="32"/>
        <v>0</v>
      </c>
      <c r="M202" s="33">
        <f t="shared" si="33"/>
        <v>25000</v>
      </c>
      <c r="N202" s="67">
        <f t="shared" si="30"/>
        <v>0</v>
      </c>
      <c r="O202" s="66">
        <v>0</v>
      </c>
      <c r="P202" s="82">
        <f>25000+M202</f>
        <v>50000</v>
      </c>
      <c r="Q202" s="83">
        <f t="shared" si="31"/>
        <v>0</v>
      </c>
      <c r="R202" s="55"/>
      <c r="S202" s="58"/>
    </row>
    <row r="203" spans="1:19" hidden="1" x14ac:dyDescent="0.25">
      <c r="A203" s="54"/>
      <c r="B203" s="14"/>
      <c r="C203" s="55"/>
      <c r="D203" s="112" t="s">
        <v>260</v>
      </c>
      <c r="E203" s="64" t="s">
        <v>365</v>
      </c>
      <c r="F203" s="65">
        <v>7500.62</v>
      </c>
      <c r="G203" s="65">
        <f>+I203</f>
        <v>62500</v>
      </c>
      <c r="H203" s="65">
        <v>7773.44</v>
      </c>
      <c r="I203" s="65">
        <v>62500</v>
      </c>
      <c r="J203" s="65">
        <v>0</v>
      </c>
      <c r="K203" s="65">
        <v>62500</v>
      </c>
      <c r="L203" s="66">
        <f t="shared" si="32"/>
        <v>15274.06</v>
      </c>
      <c r="M203" s="33">
        <f t="shared" si="33"/>
        <v>187500</v>
      </c>
      <c r="N203" s="67">
        <f t="shared" si="30"/>
        <v>8.1461653333333324</v>
      </c>
      <c r="O203" s="66">
        <f>18793.92+L203</f>
        <v>34067.979999999996</v>
      </c>
      <c r="P203" s="82">
        <f>187500+M203</f>
        <v>375000</v>
      </c>
      <c r="Q203" s="83">
        <f t="shared" si="31"/>
        <v>9.0847946666666655</v>
      </c>
      <c r="R203" s="55"/>
      <c r="S203" s="58"/>
    </row>
    <row r="204" spans="1:19" hidden="1" x14ac:dyDescent="0.25">
      <c r="A204" s="54"/>
      <c r="B204" s="14"/>
      <c r="C204" s="55"/>
      <c r="D204" s="112" t="s">
        <v>64</v>
      </c>
      <c r="E204" s="64" t="s">
        <v>366</v>
      </c>
      <c r="F204" s="65">
        <v>0</v>
      </c>
      <c r="G204" s="65">
        <f>+I204</f>
        <v>29166.666666666668</v>
      </c>
      <c r="H204" s="65">
        <v>0</v>
      </c>
      <c r="I204" s="65">
        <v>29166.666666666668</v>
      </c>
      <c r="J204" s="65">
        <v>0</v>
      </c>
      <c r="K204" s="65">
        <v>29166.666666666668</v>
      </c>
      <c r="L204" s="66">
        <f t="shared" si="32"/>
        <v>0</v>
      </c>
      <c r="M204" s="33">
        <f t="shared" si="33"/>
        <v>87500</v>
      </c>
      <c r="N204" s="67">
        <f t="shared" si="30"/>
        <v>0</v>
      </c>
      <c r="O204" s="66">
        <v>0</v>
      </c>
      <c r="P204" s="82">
        <f>87500+M204</f>
        <v>175000</v>
      </c>
      <c r="Q204" s="83">
        <f t="shared" si="31"/>
        <v>0</v>
      </c>
      <c r="R204" s="55"/>
      <c r="S204" s="58"/>
    </row>
    <row r="205" spans="1:19" hidden="1" x14ac:dyDescent="0.25">
      <c r="A205" s="54"/>
      <c r="B205" s="14"/>
      <c r="C205" s="55"/>
      <c r="D205" s="112" t="s">
        <v>70</v>
      </c>
      <c r="E205" s="64" t="s">
        <v>367</v>
      </c>
      <c r="F205" s="65">
        <v>0</v>
      </c>
      <c r="G205" s="65">
        <f>1555200/12</f>
        <v>129600</v>
      </c>
      <c r="H205" s="65">
        <v>518400</v>
      </c>
      <c r="I205" s="65">
        <v>129600</v>
      </c>
      <c r="J205" s="65">
        <v>0</v>
      </c>
      <c r="K205" s="65">
        <v>129600</v>
      </c>
      <c r="L205" s="66">
        <f t="shared" si="32"/>
        <v>518400</v>
      </c>
      <c r="M205" s="33">
        <f t="shared" si="33"/>
        <v>388800</v>
      </c>
      <c r="N205" s="67">
        <f t="shared" si="30"/>
        <v>133.33333333333331</v>
      </c>
      <c r="O205" s="66">
        <f>0+L205</f>
        <v>518400</v>
      </c>
      <c r="P205" s="82">
        <f>388800+M205</f>
        <v>777600</v>
      </c>
      <c r="Q205" s="83">
        <f t="shared" si="31"/>
        <v>66.666666666666657</v>
      </c>
      <c r="R205" s="55"/>
      <c r="S205" s="58"/>
    </row>
    <row r="206" spans="1:19" hidden="1" x14ac:dyDescent="0.25">
      <c r="A206" s="54"/>
      <c r="B206" s="14"/>
      <c r="C206" s="55"/>
      <c r="D206" s="112" t="s">
        <v>65</v>
      </c>
      <c r="E206" s="64" t="s">
        <v>366</v>
      </c>
      <c r="F206" s="65">
        <v>0</v>
      </c>
      <c r="G206" s="65">
        <f>+I206</f>
        <v>116666.66666666667</v>
      </c>
      <c r="H206" s="65">
        <v>0</v>
      </c>
      <c r="I206" s="65">
        <v>116666.66666666667</v>
      </c>
      <c r="J206" s="65">
        <v>0</v>
      </c>
      <c r="K206" s="65">
        <v>116666.66666666667</v>
      </c>
      <c r="L206" s="66">
        <f t="shared" si="32"/>
        <v>0</v>
      </c>
      <c r="M206" s="33">
        <f t="shared" si="33"/>
        <v>350000</v>
      </c>
      <c r="N206" s="67">
        <f t="shared" si="30"/>
        <v>0</v>
      </c>
      <c r="O206" s="66">
        <v>0</v>
      </c>
      <c r="P206" s="82">
        <f>350000+M206</f>
        <v>700000</v>
      </c>
      <c r="Q206" s="83">
        <f t="shared" si="31"/>
        <v>0</v>
      </c>
      <c r="R206" s="55"/>
      <c r="S206" s="58"/>
    </row>
    <row r="207" spans="1:19" hidden="1" x14ac:dyDescent="0.25">
      <c r="A207" s="54"/>
      <c r="B207" s="14"/>
      <c r="C207" s="55"/>
      <c r="D207" s="112" t="s">
        <v>66</v>
      </c>
      <c r="E207" s="64" t="s">
        <v>368</v>
      </c>
      <c r="F207" s="65">
        <v>0</v>
      </c>
      <c r="G207" s="65">
        <f>+I207</f>
        <v>83333.333333333328</v>
      </c>
      <c r="H207" s="65">
        <v>0</v>
      </c>
      <c r="I207" s="65">
        <v>83333.333333333328</v>
      </c>
      <c r="J207" s="65">
        <v>0</v>
      </c>
      <c r="K207" s="65">
        <v>83333.333333333328</v>
      </c>
      <c r="L207" s="66">
        <f t="shared" si="32"/>
        <v>0</v>
      </c>
      <c r="M207" s="33">
        <f t="shared" si="33"/>
        <v>250000</v>
      </c>
      <c r="N207" s="67">
        <f t="shared" si="30"/>
        <v>0</v>
      </c>
      <c r="O207" s="66">
        <v>0</v>
      </c>
      <c r="P207" s="82">
        <f>250000+M207</f>
        <v>500000</v>
      </c>
      <c r="Q207" s="83">
        <f t="shared" si="31"/>
        <v>0</v>
      </c>
      <c r="R207" s="55"/>
      <c r="S207" s="58"/>
    </row>
    <row r="208" spans="1:19" hidden="1" x14ac:dyDescent="0.25">
      <c r="A208" s="54"/>
      <c r="B208" s="14"/>
      <c r="C208" s="55"/>
      <c r="D208" s="112" t="s">
        <v>67</v>
      </c>
      <c r="E208" s="64" t="s">
        <v>369</v>
      </c>
      <c r="F208" s="65">
        <v>0</v>
      </c>
      <c r="G208" s="65">
        <f>+I208</f>
        <v>437062.8666666667</v>
      </c>
      <c r="H208" s="65">
        <v>0</v>
      </c>
      <c r="I208" s="65">
        <v>437062.8666666667</v>
      </c>
      <c r="J208" s="65">
        <v>0</v>
      </c>
      <c r="K208" s="65">
        <v>437062.8666666667</v>
      </c>
      <c r="L208" s="66">
        <f t="shared" si="32"/>
        <v>0</v>
      </c>
      <c r="M208" s="33">
        <f t="shared" si="33"/>
        <v>1311188.6000000001</v>
      </c>
      <c r="N208" s="67">
        <f t="shared" si="30"/>
        <v>0</v>
      </c>
      <c r="O208" s="66">
        <v>0</v>
      </c>
      <c r="P208" s="82">
        <f>1311188.6+M208</f>
        <v>2622377.2000000002</v>
      </c>
      <c r="Q208" s="83">
        <f t="shared" si="31"/>
        <v>0</v>
      </c>
      <c r="R208" s="55"/>
      <c r="S208" s="58"/>
    </row>
    <row r="209" spans="1:19" hidden="1" x14ac:dyDescent="0.25">
      <c r="A209" s="54"/>
      <c r="B209" s="14"/>
      <c r="C209" s="55"/>
      <c r="D209" s="112" t="s">
        <v>68</v>
      </c>
      <c r="E209" s="64" t="s">
        <v>370</v>
      </c>
      <c r="F209" s="65">
        <v>413227.19</v>
      </c>
      <c r="G209" s="65">
        <f>+I209</f>
        <v>410833.33333333331</v>
      </c>
      <c r="H209" s="65">
        <v>402781.82</v>
      </c>
      <c r="I209" s="65">
        <v>410833.33333333331</v>
      </c>
      <c r="J209" s="65">
        <v>0</v>
      </c>
      <c r="K209" s="65">
        <v>410833.33333333331</v>
      </c>
      <c r="L209" s="66">
        <f t="shared" si="32"/>
        <v>816009.01</v>
      </c>
      <c r="M209" s="33">
        <f t="shared" si="33"/>
        <v>1232500</v>
      </c>
      <c r="N209" s="67">
        <f t="shared" si="30"/>
        <v>66.207627586206897</v>
      </c>
      <c r="O209" s="66">
        <f>824108.77+L209</f>
        <v>1640117.78</v>
      </c>
      <c r="P209" s="82">
        <f>1232500+M209</f>
        <v>2465000</v>
      </c>
      <c r="Q209" s="83">
        <f t="shared" si="31"/>
        <v>66.536218255578092</v>
      </c>
      <c r="R209" s="55"/>
      <c r="S209" s="58"/>
    </row>
    <row r="210" spans="1:19" hidden="1" x14ac:dyDescent="0.25">
      <c r="A210" s="54"/>
      <c r="B210" s="14"/>
      <c r="C210" s="55"/>
      <c r="D210" s="79"/>
      <c r="E210" s="80"/>
      <c r="F210" s="33"/>
      <c r="G210" s="33"/>
      <c r="H210" s="33"/>
      <c r="I210" s="33"/>
      <c r="J210" s="33"/>
      <c r="K210" s="33"/>
      <c r="L210" s="66"/>
      <c r="M210" s="33"/>
      <c r="N210" s="111"/>
      <c r="O210" s="66"/>
      <c r="P210" s="82"/>
      <c r="Q210" s="111"/>
      <c r="R210" s="55"/>
      <c r="S210" s="58"/>
    </row>
    <row r="211" spans="1:19" ht="15.75" hidden="1" thickBot="1" x14ac:dyDescent="0.3">
      <c r="A211" s="54"/>
      <c r="B211" s="14"/>
      <c r="C211" s="55"/>
      <c r="D211" s="92" t="s">
        <v>0</v>
      </c>
      <c r="E211" s="93" t="s">
        <v>0</v>
      </c>
      <c r="F211" s="94" t="s">
        <v>0</v>
      </c>
      <c r="G211" s="94" t="s">
        <v>0</v>
      </c>
      <c r="H211" s="94" t="s">
        <v>0</v>
      </c>
      <c r="I211" s="94"/>
      <c r="J211" s="94"/>
      <c r="K211" s="94"/>
      <c r="L211" s="95"/>
      <c r="M211" s="94" t="s">
        <v>0</v>
      </c>
      <c r="N211" s="96" t="s">
        <v>0</v>
      </c>
      <c r="O211" s="95" t="s">
        <v>0</v>
      </c>
      <c r="P211" s="97" t="s">
        <v>0</v>
      </c>
      <c r="Q211" s="96" t="s">
        <v>0</v>
      </c>
      <c r="R211" s="55"/>
      <c r="S211" s="58"/>
    </row>
    <row r="212" spans="1:19" ht="15.75" thickBot="1" x14ac:dyDescent="0.3">
      <c r="A212" s="54"/>
      <c r="B212" s="14"/>
      <c r="C212" s="55"/>
      <c r="D212" s="31"/>
      <c r="E212" s="31"/>
      <c r="F212" s="35"/>
      <c r="G212" s="35"/>
      <c r="H212" s="35"/>
      <c r="I212" s="35"/>
      <c r="J212" s="35"/>
      <c r="K212" s="35"/>
      <c r="L212" s="35"/>
      <c r="M212" s="35"/>
      <c r="N212" s="31"/>
      <c r="O212" s="35"/>
      <c r="P212" s="35"/>
      <c r="Q212" s="31"/>
      <c r="R212" s="55"/>
      <c r="S212" s="58"/>
    </row>
    <row r="213" spans="1:19" ht="15.75" thickBot="1" x14ac:dyDescent="0.3">
      <c r="A213" s="54"/>
      <c r="B213" s="14"/>
      <c r="C213" s="55"/>
      <c r="D213" s="39"/>
      <c r="E213" s="40" t="s">
        <v>20</v>
      </c>
      <c r="F213" s="78">
        <f t="shared" ref="F213:M213" si="34">SUM(F5:F209)</f>
        <v>16816904.010000005</v>
      </c>
      <c r="G213" s="78">
        <f t="shared" si="34"/>
        <v>18301142.773214284</v>
      </c>
      <c r="H213" s="78">
        <f t="shared" si="34"/>
        <v>14799254.280000005</v>
      </c>
      <c r="I213" s="78">
        <f t="shared" si="34"/>
        <v>18301142.773214284</v>
      </c>
      <c r="J213" s="78">
        <f t="shared" si="34"/>
        <v>0</v>
      </c>
      <c r="K213" s="78">
        <f t="shared" si="34"/>
        <v>18301142.773214284</v>
      </c>
      <c r="L213" s="78">
        <f t="shared" si="34"/>
        <v>31616158.289999999</v>
      </c>
      <c r="M213" s="78">
        <f t="shared" si="34"/>
        <v>54570094.986309521</v>
      </c>
      <c r="N213" s="41">
        <f>L213/M213</f>
        <v>0.57936784419986487</v>
      </c>
      <c r="O213" s="38">
        <f>SUM(O5:O212)</f>
        <v>64145290.150000013</v>
      </c>
      <c r="P213" s="38">
        <f>SUM(P5:P212)</f>
        <v>111460757.16047618</v>
      </c>
      <c r="Q213" s="42">
        <f>O213/P213</f>
        <v>0.57549663024131903</v>
      </c>
      <c r="R213" s="55"/>
      <c r="S213" s="58"/>
    </row>
    <row r="214" spans="1:19" x14ac:dyDescent="0.25">
      <c r="A214" s="54"/>
      <c r="B214" s="14"/>
      <c r="C214" s="55"/>
      <c r="D214" s="55"/>
      <c r="E214" s="55"/>
      <c r="F214" s="55"/>
      <c r="G214" s="55"/>
      <c r="H214" s="55"/>
      <c r="I214" s="55"/>
      <c r="J214" s="55"/>
      <c r="K214" s="56"/>
      <c r="L214" s="55"/>
      <c r="M214" s="55"/>
      <c r="N214" s="56"/>
      <c r="O214" s="57"/>
      <c r="P214" s="57"/>
      <c r="Q214" s="57"/>
      <c r="R214" s="55"/>
      <c r="S214" s="58"/>
    </row>
    <row r="215" spans="1:19" x14ac:dyDescent="0.25">
      <c r="A215" s="54"/>
      <c r="B215" s="14"/>
      <c r="C215" s="55"/>
      <c r="D215" s="55"/>
      <c r="E215" s="55"/>
      <c r="F215" s="55"/>
      <c r="G215" s="55"/>
      <c r="H215" s="55"/>
      <c r="I215" s="55"/>
      <c r="J215" s="55"/>
      <c r="K215" s="56"/>
      <c r="L215" s="55"/>
      <c r="M215" s="55"/>
      <c r="N215" s="56"/>
      <c r="O215" s="57"/>
      <c r="P215" s="57"/>
      <c r="Q215" s="57"/>
      <c r="R215" s="55"/>
      <c r="S215" s="58"/>
    </row>
    <row r="216" spans="1:19" x14ac:dyDescent="0.25">
      <c r="A216" s="54"/>
      <c r="B216" s="14"/>
      <c r="C216" s="55"/>
      <c r="D216" s="55"/>
      <c r="E216" s="55"/>
      <c r="F216" s="55"/>
      <c r="G216" s="55"/>
      <c r="H216" s="55"/>
      <c r="I216" s="55"/>
      <c r="J216" s="55"/>
      <c r="K216" s="56"/>
      <c r="L216" s="55"/>
      <c r="M216" s="55"/>
      <c r="N216" s="56"/>
      <c r="O216" s="57"/>
      <c r="P216" s="57"/>
      <c r="Q216" s="57"/>
      <c r="R216" s="55"/>
      <c r="S216" s="58"/>
    </row>
    <row r="217" spans="1:19" x14ac:dyDescent="0.25">
      <c r="A217" s="54"/>
      <c r="B217" s="14"/>
      <c r="C217" s="55"/>
      <c r="D217" s="55"/>
      <c r="E217" s="55"/>
      <c r="F217" s="55"/>
      <c r="G217" s="55"/>
      <c r="H217" s="55"/>
      <c r="I217" s="55"/>
      <c r="J217" s="55"/>
      <c r="K217" s="56"/>
      <c r="L217" s="55"/>
      <c r="M217" s="55"/>
      <c r="N217" s="56"/>
      <c r="O217" s="57"/>
      <c r="P217" s="57"/>
      <c r="Q217" s="57"/>
      <c r="R217" s="55"/>
      <c r="S217" s="58"/>
    </row>
    <row r="218" spans="1:19" x14ac:dyDescent="0.25">
      <c r="A218" s="54"/>
      <c r="B218" s="14"/>
      <c r="C218" s="55"/>
      <c r="D218" s="55"/>
      <c r="E218" s="55"/>
      <c r="F218" s="55"/>
      <c r="G218" s="55"/>
      <c r="H218" s="55"/>
      <c r="I218" s="55"/>
      <c r="J218" s="55"/>
      <c r="K218" s="56"/>
      <c r="L218" s="55"/>
      <c r="M218" s="55"/>
      <c r="N218" s="56"/>
      <c r="O218" s="57"/>
      <c r="P218" s="57"/>
      <c r="Q218" s="57"/>
      <c r="R218" s="55"/>
      <c r="S218" s="58"/>
    </row>
    <row r="219" spans="1:19" x14ac:dyDescent="0.25">
      <c r="A219" s="54"/>
      <c r="B219" s="14"/>
      <c r="C219" s="55"/>
      <c r="D219" s="55"/>
      <c r="E219" s="55"/>
      <c r="F219" s="55"/>
      <c r="G219" s="55"/>
      <c r="H219" s="55"/>
      <c r="I219" s="55"/>
      <c r="J219" s="55"/>
      <c r="K219" s="56"/>
      <c r="L219" s="55"/>
      <c r="M219" s="55"/>
      <c r="N219" s="56"/>
      <c r="O219" s="57"/>
      <c r="P219" s="57"/>
      <c r="Q219" s="57"/>
      <c r="R219" s="55"/>
      <c r="S219" s="58"/>
    </row>
    <row r="220" spans="1:19" x14ac:dyDescent="0.25">
      <c r="A220" s="54"/>
      <c r="B220" s="14"/>
      <c r="C220" s="55"/>
      <c r="D220" s="55"/>
      <c r="E220" s="55"/>
      <c r="F220" s="55"/>
      <c r="G220" s="55"/>
      <c r="H220" s="55"/>
      <c r="I220" s="55"/>
      <c r="J220" s="55"/>
      <c r="K220" s="56"/>
      <c r="L220" s="55"/>
      <c r="M220" s="55"/>
      <c r="N220" s="56"/>
      <c r="O220" s="57"/>
      <c r="P220" s="57"/>
      <c r="Q220" s="57"/>
      <c r="R220" s="55"/>
      <c r="S220" s="58"/>
    </row>
    <row r="221" spans="1:19" x14ac:dyDescent="0.25">
      <c r="A221" s="54"/>
      <c r="B221" s="14"/>
      <c r="C221" s="55"/>
      <c r="D221" s="55"/>
      <c r="E221" s="55"/>
      <c r="F221" s="55"/>
      <c r="G221" s="55"/>
      <c r="H221" s="55"/>
      <c r="I221" s="55"/>
      <c r="J221" s="55"/>
      <c r="K221" s="56"/>
      <c r="L221" s="55"/>
      <c r="M221" s="55"/>
      <c r="N221" s="56"/>
      <c r="O221" s="57"/>
      <c r="P221" s="57"/>
      <c r="Q221" s="57"/>
      <c r="R221" s="55"/>
      <c r="S221" s="58"/>
    </row>
    <row r="222" spans="1:19" x14ac:dyDescent="0.25">
      <c r="A222" s="54"/>
      <c r="B222" s="14"/>
      <c r="C222" s="55"/>
      <c r="D222" s="55"/>
      <c r="E222" s="55"/>
      <c r="F222" s="55"/>
      <c r="G222" s="55"/>
      <c r="H222" s="55"/>
      <c r="I222" s="55"/>
      <c r="J222" s="55"/>
      <c r="K222" s="56"/>
      <c r="L222" s="55"/>
      <c r="M222" s="55"/>
      <c r="N222" s="56"/>
      <c r="O222" s="57"/>
      <c r="P222" s="57"/>
      <c r="Q222" s="57"/>
      <c r="R222" s="55"/>
      <c r="S222" s="58"/>
    </row>
    <row r="223" spans="1:19" x14ac:dyDescent="0.25">
      <c r="A223" s="54"/>
      <c r="B223" s="14"/>
      <c r="C223" s="55"/>
      <c r="D223" s="55"/>
      <c r="E223" s="55"/>
      <c r="F223" s="55"/>
      <c r="G223" s="55"/>
      <c r="H223" s="55"/>
      <c r="I223" s="55"/>
      <c r="J223" s="55"/>
      <c r="K223" s="56"/>
      <c r="L223" s="55"/>
      <c r="M223" s="55"/>
      <c r="N223" s="56"/>
      <c r="O223" s="57"/>
      <c r="P223" s="57"/>
      <c r="Q223" s="57"/>
      <c r="R223" s="55"/>
      <c r="S223" s="58"/>
    </row>
    <row r="224" spans="1:19" x14ac:dyDescent="0.25">
      <c r="A224" s="54"/>
      <c r="B224" s="14"/>
      <c r="C224" s="55"/>
      <c r="D224" s="55"/>
      <c r="E224" s="55"/>
      <c r="F224" s="55"/>
      <c r="G224" s="55"/>
      <c r="H224" s="55"/>
      <c r="I224" s="55"/>
      <c r="J224" s="55"/>
      <c r="K224" s="56"/>
      <c r="L224" s="55"/>
      <c r="M224" s="55"/>
      <c r="N224" s="56"/>
      <c r="O224" s="57"/>
      <c r="P224" s="57"/>
      <c r="Q224" s="57"/>
      <c r="R224" s="55"/>
      <c r="S224" s="58"/>
    </row>
    <row r="225" spans="1:19" x14ac:dyDescent="0.25">
      <c r="A225" s="54"/>
      <c r="B225" s="14"/>
      <c r="C225" s="55"/>
      <c r="D225" s="55"/>
      <c r="E225" s="55"/>
      <c r="F225" s="55"/>
      <c r="G225" s="55"/>
      <c r="H225" s="55"/>
      <c r="I225" s="55"/>
      <c r="J225" s="55"/>
      <c r="K225" s="56"/>
      <c r="L225" s="55"/>
      <c r="M225" s="55"/>
      <c r="N225" s="56"/>
      <c r="O225" s="57"/>
      <c r="P225" s="57"/>
      <c r="Q225" s="57"/>
      <c r="R225" s="55"/>
      <c r="S225" s="58"/>
    </row>
    <row r="226" spans="1:19" x14ac:dyDescent="0.25">
      <c r="A226" s="54"/>
      <c r="B226" s="14"/>
      <c r="C226" s="55"/>
      <c r="D226" s="55"/>
      <c r="E226" s="55"/>
      <c r="F226" s="55"/>
      <c r="G226" s="55"/>
      <c r="H226" s="55"/>
      <c r="I226" s="55"/>
      <c r="J226" s="55"/>
      <c r="K226" s="56"/>
      <c r="L226" s="55"/>
      <c r="M226" s="55"/>
      <c r="N226" s="56"/>
      <c r="O226" s="57"/>
      <c r="P226" s="57"/>
      <c r="Q226" s="57"/>
      <c r="R226" s="55"/>
      <c r="S226" s="58"/>
    </row>
    <row r="227" spans="1:19" x14ac:dyDescent="0.25">
      <c r="A227" s="54"/>
      <c r="B227" s="14"/>
      <c r="C227" s="55"/>
      <c r="D227" s="55"/>
      <c r="E227" s="55"/>
      <c r="F227" s="55"/>
      <c r="G227" s="55"/>
      <c r="H227" s="55"/>
      <c r="I227" s="55"/>
      <c r="J227" s="55"/>
      <c r="K227" s="56"/>
      <c r="L227" s="55"/>
      <c r="M227" s="55"/>
      <c r="N227" s="56"/>
      <c r="O227" s="57"/>
      <c r="P227" s="57"/>
      <c r="Q227" s="57"/>
      <c r="R227" s="55"/>
      <c r="S227" s="58"/>
    </row>
    <row r="228" spans="1:19" x14ac:dyDescent="0.25">
      <c r="A228" s="54"/>
      <c r="B228" s="14"/>
      <c r="C228" s="55"/>
      <c r="D228" s="55"/>
      <c r="E228" s="55"/>
      <c r="F228" s="55"/>
      <c r="G228" s="55"/>
      <c r="H228" s="55"/>
      <c r="I228" s="55"/>
      <c r="J228" s="55"/>
      <c r="K228" s="56"/>
      <c r="L228" s="55"/>
      <c r="M228" s="55"/>
      <c r="N228" s="56"/>
      <c r="O228" s="57"/>
      <c r="P228" s="57"/>
      <c r="Q228" s="57"/>
      <c r="R228" s="55"/>
      <c r="S228" s="58"/>
    </row>
    <row r="229" spans="1:19" x14ac:dyDescent="0.25">
      <c r="A229" s="54"/>
      <c r="B229" s="14"/>
      <c r="C229" s="55"/>
      <c r="D229" s="55"/>
      <c r="E229" s="55"/>
      <c r="F229" s="55"/>
      <c r="G229" s="55"/>
      <c r="H229" s="55"/>
      <c r="I229" s="55"/>
      <c r="J229" s="55"/>
      <c r="K229" s="56"/>
      <c r="L229" s="55"/>
      <c r="M229" s="55"/>
      <c r="N229" s="56"/>
      <c r="O229" s="57"/>
      <c r="P229" s="57"/>
      <c r="Q229" s="57"/>
      <c r="R229" s="55"/>
      <c r="S229" s="58"/>
    </row>
    <row r="230" spans="1:19" x14ac:dyDescent="0.25">
      <c r="A230" s="54"/>
      <c r="B230" s="14"/>
      <c r="C230" s="55"/>
      <c r="D230" s="55"/>
      <c r="E230" s="55"/>
      <c r="F230" s="55"/>
      <c r="G230" s="55"/>
      <c r="H230" s="55"/>
      <c r="I230" s="55"/>
      <c r="J230" s="55"/>
      <c r="K230" s="56"/>
      <c r="L230" s="55"/>
      <c r="M230" s="55"/>
      <c r="N230" s="56"/>
      <c r="O230" s="57"/>
      <c r="P230" s="57"/>
      <c r="Q230" s="57"/>
      <c r="R230" s="55"/>
      <c r="S230" s="58"/>
    </row>
    <row r="231" spans="1:19" x14ac:dyDescent="0.25">
      <c r="A231" s="54"/>
      <c r="B231" s="14"/>
      <c r="C231" s="55"/>
      <c r="D231" s="55"/>
      <c r="E231" s="55"/>
      <c r="F231" s="55"/>
      <c r="G231" s="55"/>
      <c r="H231" s="55"/>
      <c r="I231" s="55"/>
      <c r="J231" s="55"/>
      <c r="K231" s="56"/>
      <c r="L231" s="55"/>
      <c r="M231" s="55"/>
      <c r="N231" s="56"/>
      <c r="O231" s="57"/>
      <c r="P231" s="57"/>
      <c r="Q231" s="57"/>
      <c r="R231" s="55"/>
      <c r="S231" s="58"/>
    </row>
    <row r="232" spans="1:19" x14ac:dyDescent="0.25">
      <c r="A232" s="54"/>
      <c r="B232" s="14"/>
      <c r="C232" s="55"/>
      <c r="D232" s="55"/>
      <c r="E232" s="55"/>
      <c r="F232" s="55"/>
      <c r="G232" s="55"/>
      <c r="H232" s="55"/>
      <c r="I232" s="55"/>
      <c r="J232" s="55"/>
      <c r="K232" s="56"/>
      <c r="L232" s="55"/>
      <c r="M232" s="55"/>
      <c r="N232" s="56"/>
      <c r="O232" s="57"/>
      <c r="P232" s="57"/>
      <c r="Q232" s="57"/>
      <c r="R232" s="55"/>
      <c r="S232" s="58"/>
    </row>
    <row r="233" spans="1:19" x14ac:dyDescent="0.25">
      <c r="A233" s="54"/>
      <c r="B233" s="14"/>
      <c r="C233" s="55"/>
      <c r="D233" s="55"/>
      <c r="E233" s="55"/>
      <c r="F233" s="55"/>
      <c r="G233" s="55"/>
      <c r="H233" s="55"/>
      <c r="I233" s="55"/>
      <c r="J233" s="55"/>
      <c r="K233" s="56"/>
      <c r="L233" s="55"/>
      <c r="M233" s="55"/>
      <c r="N233" s="56"/>
      <c r="O233" s="57"/>
      <c r="P233" s="57"/>
      <c r="Q233" s="57"/>
      <c r="R233" s="55"/>
      <c r="S233" s="58"/>
    </row>
    <row r="234" spans="1:19" x14ac:dyDescent="0.25">
      <c r="A234" s="54"/>
      <c r="B234" s="14"/>
      <c r="C234" s="55"/>
      <c r="D234" s="55"/>
      <c r="E234" s="55"/>
      <c r="F234" s="55"/>
      <c r="G234" s="55"/>
      <c r="H234" s="55"/>
      <c r="I234" s="55"/>
      <c r="J234" s="55"/>
      <c r="K234" s="56"/>
      <c r="L234" s="55"/>
      <c r="M234" s="55"/>
      <c r="N234" s="56"/>
      <c r="O234" s="57"/>
      <c r="P234" s="57"/>
      <c r="Q234" s="57"/>
      <c r="R234" s="55"/>
      <c r="S234" s="58"/>
    </row>
    <row r="235" spans="1:19" x14ac:dyDescent="0.25">
      <c r="A235" s="54"/>
      <c r="B235" s="14"/>
      <c r="C235" s="55"/>
      <c r="D235" s="55"/>
      <c r="E235" s="55"/>
      <c r="F235" s="55"/>
      <c r="G235" s="55"/>
      <c r="H235" s="55"/>
      <c r="I235" s="55"/>
      <c r="J235" s="55"/>
      <c r="K235" s="56"/>
      <c r="L235" s="55"/>
      <c r="M235" s="55"/>
      <c r="N235" s="56"/>
      <c r="O235" s="57"/>
      <c r="P235" s="57"/>
      <c r="Q235" s="57"/>
      <c r="R235" s="55"/>
      <c r="S235" s="58"/>
    </row>
    <row r="236" spans="1:19" x14ac:dyDescent="0.25">
      <c r="A236" s="54"/>
      <c r="B236" s="14"/>
      <c r="C236" s="55"/>
      <c r="D236" s="55"/>
      <c r="E236" s="55"/>
      <c r="F236" s="55"/>
      <c r="G236" s="55"/>
      <c r="H236" s="55"/>
      <c r="I236" s="55"/>
      <c r="J236" s="55"/>
      <c r="K236" s="56"/>
      <c r="L236" s="55"/>
      <c r="M236" s="55"/>
      <c r="N236" s="56"/>
      <c r="O236" s="57"/>
      <c r="P236" s="57"/>
      <c r="Q236" s="57"/>
      <c r="R236" s="55"/>
      <c r="S236" s="58"/>
    </row>
    <row r="237" spans="1:19" x14ac:dyDescent="0.25">
      <c r="A237" s="54"/>
      <c r="B237" s="14"/>
      <c r="C237" s="55"/>
      <c r="D237" s="55"/>
      <c r="E237" s="55"/>
      <c r="F237" s="55"/>
      <c r="G237" s="55"/>
      <c r="H237" s="55"/>
      <c r="I237" s="55"/>
      <c r="J237" s="55"/>
      <c r="K237" s="56"/>
      <c r="L237" s="55"/>
      <c r="M237" s="55"/>
      <c r="N237" s="56"/>
      <c r="O237" s="57"/>
      <c r="P237" s="57"/>
      <c r="Q237" s="57"/>
      <c r="R237" s="55"/>
      <c r="S237" s="58"/>
    </row>
    <row r="238" spans="1:19" x14ac:dyDescent="0.25">
      <c r="A238" s="54"/>
      <c r="B238" s="14"/>
      <c r="C238" s="55"/>
      <c r="D238" s="55"/>
      <c r="E238" s="55"/>
      <c r="F238" s="55"/>
      <c r="G238" s="55"/>
      <c r="H238" s="55"/>
      <c r="I238" s="55"/>
      <c r="J238" s="55"/>
      <c r="K238" s="56"/>
      <c r="L238" s="55"/>
      <c r="M238" s="55"/>
      <c r="N238" s="56"/>
      <c r="O238" s="57"/>
      <c r="P238" s="57"/>
      <c r="Q238" s="57"/>
      <c r="R238" s="55"/>
      <c r="S238" s="58"/>
    </row>
    <row r="239" spans="1:19" x14ac:dyDescent="0.25">
      <c r="A239" s="54"/>
      <c r="B239" s="14"/>
      <c r="C239" s="55"/>
      <c r="D239" s="55"/>
      <c r="E239" s="55"/>
      <c r="F239" s="55"/>
      <c r="G239" s="55"/>
      <c r="H239" s="55"/>
      <c r="I239" s="55"/>
      <c r="J239" s="55"/>
      <c r="K239" s="56"/>
      <c r="L239" s="55"/>
      <c r="M239" s="55"/>
      <c r="N239" s="56"/>
      <c r="O239" s="57"/>
      <c r="P239" s="57"/>
      <c r="Q239" s="57"/>
      <c r="R239" s="55"/>
      <c r="S239" s="58"/>
    </row>
    <row r="240" spans="1:19" x14ac:dyDescent="0.25">
      <c r="A240" s="54"/>
      <c r="B240" s="14"/>
      <c r="C240" s="55"/>
      <c r="D240" s="55"/>
      <c r="E240" s="55"/>
      <c r="F240" s="55"/>
      <c r="G240" s="55"/>
      <c r="H240" s="55"/>
      <c r="I240" s="55"/>
      <c r="J240" s="55"/>
      <c r="K240" s="56"/>
      <c r="L240" s="55"/>
      <c r="M240" s="55"/>
      <c r="N240" s="56"/>
      <c r="O240" s="57"/>
      <c r="P240" s="57"/>
      <c r="Q240" s="57"/>
      <c r="R240" s="55"/>
      <c r="S240" s="58"/>
    </row>
    <row r="241" spans="1:19" x14ac:dyDescent="0.25">
      <c r="A241" s="54"/>
      <c r="B241" s="14"/>
      <c r="C241" s="55"/>
      <c r="D241" s="55"/>
      <c r="E241" s="55"/>
      <c r="F241" s="55"/>
      <c r="G241" s="55"/>
      <c r="H241" s="55"/>
      <c r="I241" s="55"/>
      <c r="J241" s="55"/>
      <c r="K241" s="56"/>
      <c r="L241" s="55"/>
      <c r="M241" s="55"/>
      <c r="N241" s="56"/>
      <c r="O241" s="57"/>
      <c r="P241" s="57"/>
      <c r="Q241" s="57"/>
      <c r="R241" s="55"/>
      <c r="S241" s="58"/>
    </row>
    <row r="242" spans="1:19" x14ac:dyDescent="0.25">
      <c r="A242" s="54"/>
      <c r="B242" s="14"/>
      <c r="C242" s="55"/>
      <c r="D242" s="55"/>
      <c r="E242" s="55"/>
      <c r="F242" s="55"/>
      <c r="G242" s="55"/>
      <c r="H242" s="55"/>
      <c r="I242" s="55"/>
      <c r="J242" s="55"/>
      <c r="K242" s="56"/>
      <c r="L242" s="55"/>
      <c r="M242" s="55"/>
      <c r="N242" s="56"/>
      <c r="O242" s="57"/>
      <c r="P242" s="57"/>
      <c r="Q242" s="57"/>
      <c r="R242" s="55"/>
      <c r="S242" s="58"/>
    </row>
    <row r="243" spans="1:19" x14ac:dyDescent="0.25">
      <c r="A243" s="54"/>
      <c r="B243" s="14"/>
      <c r="C243" s="55"/>
      <c r="D243" s="55"/>
      <c r="E243" s="55"/>
      <c r="F243" s="55"/>
      <c r="G243" s="55"/>
      <c r="H243" s="55"/>
      <c r="I243" s="55"/>
      <c r="J243" s="55"/>
      <c r="K243" s="56"/>
      <c r="L243" s="55"/>
      <c r="M243" s="55"/>
      <c r="N243" s="56"/>
      <c r="O243" s="57"/>
      <c r="P243" s="57"/>
      <c r="Q243" s="57"/>
      <c r="R243" s="55"/>
      <c r="S243" s="58"/>
    </row>
    <row r="244" spans="1:19" x14ac:dyDescent="0.25">
      <c r="A244" s="54"/>
      <c r="B244" s="14"/>
      <c r="C244" s="55"/>
      <c r="D244" s="55"/>
      <c r="E244" s="55"/>
      <c r="F244" s="55"/>
      <c r="G244" s="55"/>
      <c r="H244" s="55"/>
      <c r="I244" s="55"/>
      <c r="J244" s="55"/>
      <c r="K244" s="56"/>
      <c r="L244" s="55"/>
      <c r="M244" s="55"/>
      <c r="N244" s="56"/>
      <c r="O244" s="57"/>
      <c r="P244" s="57"/>
      <c r="Q244" s="57"/>
      <c r="R244" s="55"/>
      <c r="S244" s="58"/>
    </row>
    <row r="245" spans="1:19" x14ac:dyDescent="0.25">
      <c r="A245" s="54"/>
      <c r="B245" s="14"/>
      <c r="C245" s="55"/>
      <c r="D245" s="55"/>
      <c r="E245" s="55"/>
      <c r="F245" s="55"/>
      <c r="G245" s="55"/>
      <c r="H245" s="55"/>
      <c r="I245" s="55"/>
      <c r="J245" s="55"/>
      <c r="K245" s="56"/>
      <c r="L245" s="55"/>
      <c r="M245" s="55"/>
      <c r="N245" s="56"/>
      <c r="O245" s="57"/>
      <c r="P245" s="57"/>
      <c r="Q245" s="57"/>
      <c r="R245" s="55"/>
      <c r="S245" s="58"/>
    </row>
    <row r="246" spans="1:19" x14ac:dyDescent="0.25">
      <c r="A246" s="54"/>
      <c r="B246" s="14"/>
      <c r="C246" s="55"/>
      <c r="D246" s="55"/>
      <c r="E246" s="55"/>
      <c r="F246" s="55"/>
      <c r="G246" s="55"/>
      <c r="H246" s="55"/>
      <c r="I246" s="55"/>
      <c r="J246" s="55"/>
      <c r="K246" s="56"/>
      <c r="L246" s="55"/>
      <c r="M246" s="55"/>
      <c r="N246" s="56"/>
      <c r="O246" s="57"/>
      <c r="P246" s="57"/>
      <c r="Q246" s="57"/>
      <c r="R246" s="55"/>
      <c r="S246" s="58"/>
    </row>
    <row r="247" spans="1:19" x14ac:dyDescent="0.25">
      <c r="A247" s="54"/>
      <c r="B247" s="14"/>
      <c r="C247" s="55"/>
      <c r="D247" s="55"/>
      <c r="E247" s="55"/>
      <c r="F247" s="55"/>
      <c r="G247" s="55"/>
      <c r="H247" s="55"/>
      <c r="I247" s="55"/>
      <c r="J247" s="55"/>
      <c r="K247" s="56"/>
      <c r="L247" s="55"/>
      <c r="M247" s="55"/>
      <c r="N247" s="56"/>
      <c r="O247" s="57"/>
      <c r="P247" s="57"/>
      <c r="Q247" s="57"/>
      <c r="R247" s="55"/>
      <c r="S247" s="58"/>
    </row>
    <row r="248" spans="1:19" x14ac:dyDescent="0.25">
      <c r="A248" s="54"/>
      <c r="B248" s="14"/>
      <c r="C248" s="55"/>
      <c r="D248" s="55"/>
      <c r="E248" s="55"/>
      <c r="F248" s="55"/>
      <c r="G248" s="55"/>
      <c r="H248" s="55"/>
      <c r="I248" s="55"/>
      <c r="J248" s="55"/>
      <c r="K248" s="56"/>
      <c r="L248" s="55"/>
      <c r="M248" s="55"/>
      <c r="N248" s="56"/>
      <c r="O248" s="57"/>
      <c r="P248" s="57"/>
      <c r="Q248" s="57"/>
      <c r="R248" s="55"/>
      <c r="S248" s="58"/>
    </row>
    <row r="249" spans="1:19" x14ac:dyDescent="0.25">
      <c r="A249" s="54"/>
      <c r="B249" s="14"/>
      <c r="C249" s="55"/>
      <c r="D249" s="55"/>
      <c r="E249" s="55"/>
      <c r="F249" s="55"/>
      <c r="G249" s="55"/>
      <c r="H249" s="55"/>
      <c r="I249" s="55"/>
      <c r="J249" s="55"/>
      <c r="K249" s="56"/>
      <c r="L249" s="55"/>
      <c r="M249" s="55"/>
      <c r="N249" s="56"/>
      <c r="O249" s="57"/>
      <c r="P249" s="57"/>
      <c r="Q249" s="57"/>
      <c r="R249" s="55"/>
      <c r="S249" s="58"/>
    </row>
    <row r="250" spans="1:19" x14ac:dyDescent="0.25">
      <c r="A250" s="54"/>
      <c r="B250" s="14"/>
      <c r="C250" s="55"/>
      <c r="D250" s="55"/>
      <c r="E250" s="55"/>
      <c r="F250" s="55"/>
      <c r="G250" s="55"/>
      <c r="H250" s="55"/>
      <c r="I250" s="55"/>
      <c r="J250" s="55"/>
      <c r="K250" s="56"/>
      <c r="L250" s="55"/>
      <c r="M250" s="55"/>
      <c r="N250" s="56"/>
      <c r="O250" s="57"/>
      <c r="P250" s="57"/>
      <c r="Q250" s="57"/>
      <c r="R250" s="55"/>
      <c r="S250" s="58"/>
    </row>
    <row r="251" spans="1:19" x14ac:dyDescent="0.25">
      <c r="A251" s="54"/>
      <c r="B251" s="14"/>
      <c r="C251" s="55"/>
      <c r="D251" s="55"/>
      <c r="E251" s="55"/>
      <c r="F251" s="55"/>
      <c r="G251" s="55"/>
      <c r="H251" s="55"/>
      <c r="I251" s="55"/>
      <c r="J251" s="55"/>
      <c r="K251" s="56"/>
      <c r="L251" s="55"/>
      <c r="M251" s="55"/>
      <c r="N251" s="56"/>
      <c r="O251" s="57"/>
      <c r="P251" s="57"/>
      <c r="Q251" s="57"/>
      <c r="R251" s="55"/>
      <c r="S251" s="58"/>
    </row>
    <row r="252" spans="1:19" x14ac:dyDescent="0.25">
      <c r="A252" s="54"/>
      <c r="B252" s="14"/>
      <c r="C252" s="55"/>
      <c r="D252" s="55"/>
      <c r="E252" s="55"/>
      <c r="F252" s="55"/>
      <c r="G252" s="55"/>
      <c r="H252" s="55"/>
      <c r="I252" s="55"/>
      <c r="J252" s="55"/>
      <c r="K252" s="56"/>
      <c r="L252" s="55"/>
      <c r="M252" s="55"/>
      <c r="N252" s="56"/>
      <c r="O252" s="57"/>
      <c r="P252" s="57"/>
      <c r="Q252" s="57"/>
      <c r="R252" s="55"/>
      <c r="S252" s="58"/>
    </row>
    <row r="253" spans="1:19" x14ac:dyDescent="0.25">
      <c r="A253" s="54"/>
      <c r="B253" s="14"/>
      <c r="C253" s="55"/>
      <c r="D253" s="55"/>
      <c r="E253" s="55"/>
      <c r="F253" s="55"/>
      <c r="G253" s="55"/>
      <c r="H253" s="55"/>
      <c r="I253" s="55"/>
      <c r="J253" s="55"/>
      <c r="K253" s="56"/>
      <c r="L253" s="55"/>
      <c r="M253" s="55"/>
      <c r="N253" s="56"/>
      <c r="O253" s="57"/>
      <c r="P253" s="57"/>
      <c r="Q253" s="57"/>
      <c r="R253" s="55"/>
      <c r="S253" s="58"/>
    </row>
    <row r="254" spans="1:19" x14ac:dyDescent="0.25">
      <c r="A254" s="54"/>
      <c r="B254" s="14"/>
      <c r="C254" s="55"/>
      <c r="D254" s="55"/>
      <c r="E254" s="55"/>
      <c r="F254" s="55"/>
      <c r="G254" s="55"/>
      <c r="H254" s="55"/>
      <c r="I254" s="55"/>
      <c r="J254" s="55"/>
      <c r="K254" s="56"/>
      <c r="L254" s="55"/>
      <c r="M254" s="55"/>
      <c r="N254" s="56"/>
      <c r="O254" s="57"/>
      <c r="P254" s="57"/>
      <c r="Q254" s="57"/>
      <c r="R254" s="55"/>
      <c r="S254" s="58"/>
    </row>
    <row r="255" spans="1:19" x14ac:dyDescent="0.25">
      <c r="A255" s="54"/>
      <c r="B255" s="14"/>
      <c r="C255" s="55"/>
      <c r="D255" s="55"/>
      <c r="E255" s="55"/>
      <c r="F255" s="55"/>
      <c r="G255" s="55"/>
      <c r="H255" s="55"/>
      <c r="I255" s="55"/>
      <c r="J255" s="55"/>
      <c r="K255" s="56"/>
      <c r="L255" s="55"/>
      <c r="M255" s="55"/>
      <c r="N255" s="56"/>
      <c r="O255" s="57"/>
      <c r="P255" s="57"/>
      <c r="Q255" s="57"/>
      <c r="R255" s="55"/>
      <c r="S255" s="58"/>
    </row>
    <row r="256" spans="1:19" x14ac:dyDescent="0.25">
      <c r="A256" s="54"/>
      <c r="B256" s="14"/>
      <c r="C256" s="55"/>
      <c r="D256" s="55"/>
      <c r="E256" s="55"/>
      <c r="F256" s="55"/>
      <c r="G256" s="55"/>
      <c r="H256" s="55"/>
      <c r="I256" s="55"/>
      <c r="J256" s="55"/>
      <c r="K256" s="56"/>
      <c r="L256" s="55"/>
      <c r="M256" s="55"/>
      <c r="N256" s="56"/>
      <c r="O256" s="57"/>
      <c r="P256" s="57"/>
      <c r="Q256" s="57"/>
      <c r="R256" s="55"/>
      <c r="S256" s="58"/>
    </row>
    <row r="257" spans="1:19" x14ac:dyDescent="0.25">
      <c r="A257" s="54"/>
      <c r="B257" s="14"/>
      <c r="C257" s="55"/>
      <c r="D257" s="55"/>
      <c r="E257" s="55"/>
      <c r="F257" s="55"/>
      <c r="G257" s="55"/>
      <c r="H257" s="55"/>
      <c r="I257" s="55"/>
      <c r="J257" s="55"/>
      <c r="K257" s="56"/>
      <c r="L257" s="55"/>
      <c r="M257" s="55"/>
      <c r="N257" s="56"/>
      <c r="O257" s="57"/>
      <c r="P257" s="57"/>
      <c r="Q257" s="57"/>
      <c r="R257" s="55"/>
      <c r="S257" s="58"/>
    </row>
    <row r="258" spans="1:19" x14ac:dyDescent="0.25">
      <c r="A258" s="54"/>
      <c r="B258" s="14"/>
      <c r="C258" s="55"/>
      <c r="D258" s="55"/>
      <c r="E258" s="55"/>
      <c r="F258" s="55"/>
      <c r="G258" s="55"/>
      <c r="H258" s="55"/>
      <c r="I258" s="55"/>
      <c r="J258" s="55"/>
      <c r="K258" s="56"/>
      <c r="L258" s="55"/>
      <c r="M258" s="55"/>
      <c r="N258" s="56"/>
      <c r="O258" s="57"/>
      <c r="P258" s="57"/>
      <c r="Q258" s="57"/>
      <c r="R258" s="55"/>
      <c r="S258" s="58"/>
    </row>
    <row r="259" spans="1:19" x14ac:dyDescent="0.25">
      <c r="A259" s="54"/>
      <c r="B259" s="14"/>
      <c r="C259" s="55"/>
      <c r="D259" s="55"/>
      <c r="E259" s="55"/>
      <c r="F259" s="55"/>
      <c r="G259" s="55"/>
      <c r="H259" s="55"/>
      <c r="I259" s="55"/>
      <c r="J259" s="55"/>
      <c r="K259" s="56"/>
      <c r="L259" s="55"/>
      <c r="M259" s="55"/>
      <c r="N259" s="56"/>
      <c r="O259" s="57"/>
      <c r="P259" s="57"/>
      <c r="Q259" s="57"/>
      <c r="R259" s="55"/>
      <c r="S259" s="58"/>
    </row>
    <row r="260" spans="1:19" x14ac:dyDescent="0.25">
      <c r="A260" s="54"/>
      <c r="B260" s="14"/>
      <c r="C260" s="55"/>
      <c r="D260" s="55"/>
      <c r="E260" s="55"/>
      <c r="F260" s="55"/>
      <c r="G260" s="55"/>
      <c r="H260" s="55"/>
      <c r="I260" s="55"/>
      <c r="J260" s="55"/>
      <c r="K260" s="56"/>
      <c r="L260" s="55"/>
      <c r="M260" s="55"/>
      <c r="N260" s="56"/>
      <c r="O260" s="57"/>
      <c r="P260" s="57"/>
      <c r="Q260" s="57"/>
      <c r="R260" s="55"/>
      <c r="S260" s="58"/>
    </row>
    <row r="261" spans="1:19" x14ac:dyDescent="0.25">
      <c r="A261" s="54"/>
      <c r="B261" s="14"/>
      <c r="C261" s="55"/>
      <c r="D261" s="55"/>
      <c r="E261" s="55"/>
      <c r="F261" s="55"/>
      <c r="G261" s="55"/>
      <c r="H261" s="55"/>
      <c r="I261" s="55"/>
      <c r="J261" s="55"/>
      <c r="K261" s="56"/>
      <c r="L261" s="55"/>
      <c r="M261" s="55"/>
      <c r="N261" s="56"/>
      <c r="O261" s="57"/>
      <c r="P261" s="57"/>
      <c r="Q261" s="57"/>
      <c r="R261" s="55"/>
      <c r="S261" s="58"/>
    </row>
    <row r="262" spans="1:19" x14ac:dyDescent="0.25">
      <c r="A262" s="54"/>
      <c r="B262" s="14"/>
      <c r="C262" s="55"/>
      <c r="D262" s="55"/>
      <c r="E262" s="55"/>
      <c r="F262" s="55"/>
      <c r="G262" s="55"/>
      <c r="H262" s="55"/>
      <c r="I262" s="55"/>
      <c r="J262" s="55"/>
      <c r="K262" s="56"/>
      <c r="L262" s="55"/>
      <c r="M262" s="55"/>
      <c r="N262" s="56"/>
      <c r="O262" s="57"/>
      <c r="P262" s="57"/>
      <c r="Q262" s="57"/>
      <c r="R262" s="55"/>
      <c r="S262" s="58"/>
    </row>
    <row r="263" spans="1:19" x14ac:dyDescent="0.25">
      <c r="A263" s="54"/>
      <c r="B263" s="14"/>
      <c r="C263" s="55"/>
      <c r="D263" s="55"/>
      <c r="E263" s="55"/>
      <c r="F263" s="55"/>
      <c r="G263" s="55"/>
      <c r="H263" s="55"/>
      <c r="I263" s="55"/>
      <c r="J263" s="55"/>
      <c r="K263" s="56"/>
      <c r="L263" s="55"/>
      <c r="M263" s="55"/>
      <c r="N263" s="56"/>
      <c r="O263" s="57"/>
      <c r="P263" s="57"/>
      <c r="Q263" s="57"/>
      <c r="R263" s="55"/>
      <c r="S263" s="58"/>
    </row>
    <row r="264" spans="1:19" x14ac:dyDescent="0.25">
      <c r="A264" s="54"/>
      <c r="B264" s="14"/>
      <c r="C264" s="55"/>
      <c r="D264" s="55"/>
      <c r="E264" s="55"/>
      <c r="F264" s="55"/>
      <c r="G264" s="55"/>
      <c r="H264" s="55"/>
      <c r="I264" s="55"/>
      <c r="J264" s="55"/>
      <c r="K264" s="56"/>
      <c r="L264" s="55"/>
      <c r="M264" s="55"/>
      <c r="N264" s="56"/>
      <c r="O264" s="57"/>
      <c r="P264" s="57"/>
      <c r="Q264" s="57"/>
      <c r="R264" s="55"/>
      <c r="S264" s="58"/>
    </row>
    <row r="265" spans="1:19" x14ac:dyDescent="0.25">
      <c r="A265" s="54"/>
      <c r="B265" s="14"/>
      <c r="C265" s="55"/>
      <c r="D265" s="55"/>
      <c r="E265" s="55"/>
      <c r="F265" s="55"/>
      <c r="G265" s="55"/>
      <c r="H265" s="55"/>
      <c r="I265" s="55"/>
      <c r="J265" s="55"/>
      <c r="K265" s="56"/>
      <c r="L265" s="55"/>
      <c r="M265" s="55"/>
      <c r="N265" s="56"/>
      <c r="O265" s="57"/>
      <c r="P265" s="57"/>
      <c r="Q265" s="57"/>
      <c r="R265" s="55"/>
      <c r="S265" s="58"/>
    </row>
    <row r="266" spans="1:19" x14ac:dyDescent="0.25">
      <c r="A266" s="54"/>
      <c r="B266" s="14"/>
      <c r="C266" s="55"/>
      <c r="D266" s="55"/>
      <c r="E266" s="55"/>
      <c r="F266" s="55"/>
      <c r="G266" s="55"/>
      <c r="H266" s="55"/>
      <c r="I266" s="55"/>
      <c r="J266" s="55"/>
      <c r="K266" s="56"/>
      <c r="L266" s="55"/>
      <c r="M266" s="55"/>
      <c r="N266" s="56"/>
      <c r="O266" s="57"/>
      <c r="P266" s="57"/>
      <c r="Q266" s="57"/>
      <c r="R266" s="55"/>
      <c r="S266" s="58"/>
    </row>
    <row r="267" spans="1:19" x14ac:dyDescent="0.25">
      <c r="A267" s="54"/>
      <c r="B267" s="14"/>
      <c r="C267" s="55"/>
      <c r="D267" s="55"/>
      <c r="E267" s="55"/>
      <c r="F267" s="55"/>
      <c r="G267" s="55"/>
      <c r="H267" s="55"/>
      <c r="I267" s="55"/>
      <c r="J267" s="55"/>
      <c r="K267" s="56"/>
      <c r="L267" s="55"/>
      <c r="M267" s="55"/>
      <c r="N267" s="56"/>
      <c r="O267" s="57"/>
      <c r="P267" s="57"/>
      <c r="Q267" s="57"/>
      <c r="R267" s="55"/>
      <c r="S267" s="58"/>
    </row>
    <row r="268" spans="1:19" x14ac:dyDescent="0.25">
      <c r="A268" s="54"/>
      <c r="B268" s="14"/>
      <c r="C268" s="55"/>
      <c r="D268" s="55"/>
      <c r="E268" s="55"/>
      <c r="F268" s="55"/>
      <c r="G268" s="55"/>
      <c r="H268" s="55"/>
      <c r="I268" s="55"/>
      <c r="J268" s="55"/>
      <c r="K268" s="56"/>
      <c r="L268" s="55"/>
      <c r="M268" s="55"/>
      <c r="N268" s="56"/>
      <c r="O268" s="57"/>
      <c r="P268" s="57"/>
      <c r="Q268" s="57"/>
      <c r="R268" s="55"/>
      <c r="S268" s="58"/>
    </row>
    <row r="269" spans="1:19" x14ac:dyDescent="0.25">
      <c r="A269" s="54"/>
      <c r="B269" s="14"/>
      <c r="C269" s="55"/>
      <c r="D269" s="55"/>
      <c r="E269" s="55"/>
      <c r="F269" s="55"/>
      <c r="G269" s="55"/>
      <c r="H269" s="55"/>
      <c r="I269" s="55"/>
      <c r="J269" s="55"/>
      <c r="K269" s="56"/>
      <c r="L269" s="55"/>
      <c r="M269" s="55"/>
      <c r="N269" s="56"/>
      <c r="O269" s="57"/>
      <c r="P269" s="57"/>
      <c r="Q269" s="57"/>
      <c r="R269" s="55"/>
      <c r="S269" s="58"/>
    </row>
    <row r="270" spans="1:19" x14ac:dyDescent="0.25">
      <c r="A270" s="54"/>
      <c r="B270" s="14"/>
      <c r="C270" s="55"/>
      <c r="D270" s="55"/>
      <c r="E270" s="55"/>
      <c r="F270" s="55"/>
      <c r="G270" s="55"/>
      <c r="H270" s="55"/>
      <c r="I270" s="55"/>
      <c r="J270" s="55"/>
      <c r="K270" s="56"/>
      <c r="L270" s="55"/>
      <c r="M270" s="55"/>
      <c r="N270" s="56"/>
      <c r="O270" s="57"/>
      <c r="P270" s="57"/>
      <c r="Q270" s="57"/>
      <c r="R270" s="55"/>
      <c r="S270" s="58"/>
    </row>
    <row r="271" spans="1:19" x14ac:dyDescent="0.25">
      <c r="A271" s="54"/>
      <c r="B271" s="14"/>
      <c r="C271" s="55"/>
      <c r="D271" s="55"/>
      <c r="E271" s="55"/>
      <c r="F271" s="55"/>
      <c r="G271" s="55"/>
      <c r="H271" s="55"/>
      <c r="I271" s="55"/>
      <c r="J271" s="55"/>
      <c r="K271" s="56"/>
      <c r="L271" s="55"/>
      <c r="M271" s="55"/>
      <c r="N271" s="56"/>
      <c r="O271" s="57"/>
      <c r="P271" s="57"/>
      <c r="Q271" s="57"/>
      <c r="R271" s="55"/>
      <c r="S271" s="58"/>
    </row>
    <row r="272" spans="1:19" x14ac:dyDescent="0.25">
      <c r="A272" s="54"/>
      <c r="B272" s="14"/>
      <c r="C272" s="55"/>
      <c r="D272" s="55"/>
      <c r="E272" s="55"/>
      <c r="F272" s="55"/>
      <c r="G272" s="55"/>
      <c r="H272" s="55"/>
      <c r="I272" s="55"/>
      <c r="J272" s="55"/>
      <c r="K272" s="56"/>
      <c r="L272" s="55"/>
      <c r="M272" s="55"/>
      <c r="N272" s="56"/>
      <c r="O272" s="57"/>
      <c r="P272" s="57"/>
      <c r="Q272" s="57"/>
      <c r="R272" s="55"/>
      <c r="S272" s="58"/>
    </row>
    <row r="273" spans="1:19" x14ac:dyDescent="0.25">
      <c r="A273" s="54"/>
      <c r="B273" s="14"/>
      <c r="C273" s="55"/>
      <c r="D273" s="55"/>
      <c r="E273" s="55"/>
      <c r="F273" s="55"/>
      <c r="G273" s="55"/>
      <c r="H273" s="55"/>
      <c r="I273" s="55"/>
      <c r="J273" s="55"/>
      <c r="K273" s="56"/>
      <c r="L273" s="55"/>
      <c r="M273" s="55"/>
      <c r="N273" s="56"/>
      <c r="O273" s="57"/>
      <c r="P273" s="57"/>
      <c r="Q273" s="57"/>
      <c r="R273" s="55"/>
      <c r="S273" s="58"/>
    </row>
    <row r="274" spans="1:19" x14ac:dyDescent="0.25">
      <c r="A274" s="54"/>
      <c r="B274" s="14"/>
      <c r="C274" s="55"/>
      <c r="D274" s="55"/>
      <c r="E274" s="55"/>
      <c r="F274" s="55"/>
      <c r="G274" s="55"/>
      <c r="H274" s="55"/>
      <c r="I274" s="55"/>
      <c r="J274" s="55"/>
      <c r="K274" s="56"/>
      <c r="L274" s="55"/>
      <c r="M274" s="55"/>
      <c r="N274" s="56"/>
      <c r="O274" s="57"/>
      <c r="P274" s="57"/>
      <c r="Q274" s="57"/>
      <c r="R274" s="55"/>
      <c r="S274" s="58"/>
    </row>
    <row r="275" spans="1:19" x14ac:dyDescent="0.25">
      <c r="A275" s="54"/>
      <c r="B275" s="14"/>
      <c r="C275" s="55"/>
      <c r="D275" s="55"/>
      <c r="E275" s="55"/>
      <c r="F275" s="55"/>
      <c r="G275" s="55"/>
      <c r="H275" s="55"/>
      <c r="I275" s="55"/>
      <c r="J275" s="55"/>
      <c r="K275" s="56"/>
      <c r="L275" s="55"/>
      <c r="M275" s="55"/>
      <c r="N275" s="56"/>
      <c r="O275" s="57"/>
      <c r="P275" s="57"/>
      <c r="Q275" s="57"/>
      <c r="R275" s="55"/>
      <c r="S275" s="58"/>
    </row>
    <row r="276" spans="1:19" x14ac:dyDescent="0.25">
      <c r="A276" s="54"/>
      <c r="B276" s="14"/>
      <c r="C276" s="55"/>
      <c r="D276" s="55"/>
      <c r="E276" s="55"/>
      <c r="F276" s="55"/>
      <c r="G276" s="55"/>
      <c r="H276" s="55"/>
      <c r="I276" s="55"/>
      <c r="J276" s="55"/>
      <c r="K276" s="56"/>
      <c r="L276" s="55"/>
      <c r="M276" s="55"/>
      <c r="N276" s="56"/>
      <c r="O276" s="57"/>
      <c r="P276" s="57"/>
      <c r="Q276" s="57"/>
      <c r="R276" s="55"/>
      <c r="S276" s="58"/>
    </row>
    <row r="277" spans="1:19" x14ac:dyDescent="0.25">
      <c r="A277" s="54"/>
      <c r="B277" s="14"/>
      <c r="C277" s="55"/>
      <c r="D277" s="55"/>
      <c r="E277" s="55"/>
      <c r="F277" s="55"/>
      <c r="G277" s="55"/>
      <c r="H277" s="55"/>
      <c r="I277" s="55"/>
      <c r="J277" s="55"/>
      <c r="K277" s="56"/>
      <c r="L277" s="55"/>
      <c r="M277" s="55"/>
      <c r="N277" s="56"/>
      <c r="O277" s="57"/>
      <c r="P277" s="57"/>
      <c r="Q277" s="57"/>
      <c r="R277" s="55"/>
      <c r="S277" s="58"/>
    </row>
    <row r="278" spans="1:19" x14ac:dyDescent="0.25">
      <c r="A278" s="54"/>
      <c r="B278" s="14"/>
      <c r="C278" s="55"/>
      <c r="D278" s="55"/>
      <c r="E278" s="55"/>
      <c r="F278" s="55"/>
      <c r="G278" s="55"/>
      <c r="H278" s="55"/>
      <c r="I278" s="55"/>
      <c r="J278" s="55"/>
      <c r="K278" s="56"/>
      <c r="L278" s="55"/>
      <c r="M278" s="55"/>
      <c r="N278" s="56"/>
      <c r="O278" s="57"/>
      <c r="P278" s="57"/>
      <c r="Q278" s="57"/>
      <c r="R278" s="55"/>
      <c r="S278" s="58"/>
    </row>
    <row r="279" spans="1:19" x14ac:dyDescent="0.25">
      <c r="A279" s="54"/>
      <c r="B279" s="14"/>
      <c r="C279" s="55"/>
      <c r="D279" s="55"/>
      <c r="E279" s="55"/>
      <c r="F279" s="55"/>
      <c r="G279" s="55"/>
      <c r="H279" s="55"/>
      <c r="I279" s="55"/>
      <c r="J279" s="55"/>
      <c r="K279" s="56"/>
      <c r="L279" s="55"/>
      <c r="M279" s="55"/>
      <c r="N279" s="56"/>
      <c r="O279" s="57"/>
      <c r="P279" s="57"/>
      <c r="Q279" s="57"/>
      <c r="R279" s="55"/>
      <c r="S279" s="58"/>
    </row>
    <row r="280" spans="1:19" x14ac:dyDescent="0.25">
      <c r="A280" s="54"/>
      <c r="B280" s="14"/>
      <c r="C280" s="55"/>
      <c r="D280" s="55"/>
      <c r="E280" s="55"/>
      <c r="F280" s="55"/>
      <c r="G280" s="55"/>
      <c r="H280" s="55"/>
      <c r="I280" s="55"/>
      <c r="J280" s="55"/>
      <c r="K280" s="56"/>
      <c r="L280" s="55"/>
      <c r="M280" s="55"/>
      <c r="N280" s="56"/>
      <c r="O280" s="57"/>
      <c r="P280" s="57"/>
      <c r="Q280" s="57"/>
      <c r="R280" s="55"/>
      <c r="S280" s="58"/>
    </row>
    <row r="281" spans="1:19" x14ac:dyDescent="0.25">
      <c r="A281" s="54"/>
      <c r="B281" s="14"/>
      <c r="C281" s="55"/>
      <c r="D281" s="55"/>
      <c r="E281" s="55"/>
      <c r="F281" s="55"/>
      <c r="G281" s="55"/>
      <c r="H281" s="55"/>
      <c r="I281" s="55"/>
      <c r="J281" s="55"/>
      <c r="K281" s="56"/>
      <c r="L281" s="55"/>
      <c r="M281" s="55"/>
      <c r="N281" s="56"/>
      <c r="O281" s="57"/>
      <c r="P281" s="57"/>
      <c r="Q281" s="57"/>
      <c r="R281" s="55"/>
      <c r="S281" s="58"/>
    </row>
    <row r="282" spans="1:19" x14ac:dyDescent="0.25">
      <c r="A282" s="54"/>
      <c r="B282" s="14"/>
      <c r="C282" s="55"/>
      <c r="D282" s="55"/>
      <c r="E282" s="55"/>
      <c r="F282" s="55"/>
      <c r="G282" s="55"/>
      <c r="H282" s="55"/>
      <c r="I282" s="55"/>
      <c r="J282" s="55"/>
      <c r="K282" s="56"/>
      <c r="L282" s="55"/>
      <c r="M282" s="55"/>
      <c r="N282" s="56"/>
      <c r="O282" s="57"/>
      <c r="P282" s="57"/>
      <c r="Q282" s="57"/>
      <c r="R282" s="55"/>
      <c r="S282" s="58"/>
    </row>
    <row r="283" spans="1:19" x14ac:dyDescent="0.25">
      <c r="A283" s="54"/>
      <c r="B283" s="14"/>
      <c r="C283" s="55"/>
      <c r="D283" s="55"/>
      <c r="E283" s="55"/>
      <c r="F283" s="55"/>
      <c r="G283" s="55"/>
      <c r="H283" s="55"/>
      <c r="I283" s="55"/>
      <c r="J283" s="55"/>
      <c r="K283" s="56"/>
      <c r="L283" s="55"/>
      <c r="M283" s="55"/>
      <c r="N283" s="56"/>
      <c r="O283" s="57"/>
      <c r="P283" s="57"/>
      <c r="Q283" s="57"/>
      <c r="R283" s="55"/>
      <c r="S283" s="58"/>
    </row>
    <row r="284" spans="1:19" x14ac:dyDescent="0.25">
      <c r="A284" s="54"/>
      <c r="B284" s="14"/>
      <c r="C284" s="55"/>
      <c r="D284" s="55"/>
      <c r="E284" s="55"/>
      <c r="F284" s="55"/>
      <c r="G284" s="55"/>
      <c r="H284" s="55"/>
      <c r="I284" s="55"/>
      <c r="J284" s="55"/>
      <c r="K284" s="56"/>
      <c r="L284" s="55"/>
      <c r="M284" s="55"/>
      <c r="N284" s="56"/>
      <c r="O284" s="57"/>
      <c r="P284" s="57"/>
      <c r="Q284" s="57"/>
      <c r="R284" s="55"/>
      <c r="S284" s="58"/>
    </row>
    <row r="285" spans="1:19" x14ac:dyDescent="0.25">
      <c r="A285" s="54"/>
      <c r="B285" s="14"/>
      <c r="C285" s="55"/>
      <c r="D285" s="55"/>
      <c r="E285" s="55"/>
      <c r="F285" s="55"/>
      <c r="G285" s="55"/>
      <c r="H285" s="55"/>
      <c r="I285" s="55"/>
      <c r="J285" s="55"/>
      <c r="K285" s="56"/>
      <c r="L285" s="55"/>
      <c r="M285" s="55"/>
      <c r="N285" s="56"/>
      <c r="O285" s="57"/>
      <c r="P285" s="57"/>
      <c r="Q285" s="57"/>
      <c r="R285" s="55"/>
      <c r="S285" s="58"/>
    </row>
    <row r="286" spans="1:19" x14ac:dyDescent="0.25">
      <c r="A286" s="54"/>
      <c r="B286" s="14"/>
      <c r="C286" s="55"/>
      <c r="D286" s="55"/>
      <c r="E286" s="55"/>
      <c r="F286" s="55"/>
      <c r="G286" s="55"/>
      <c r="H286" s="55"/>
      <c r="I286" s="55"/>
      <c r="J286" s="55"/>
      <c r="K286" s="56"/>
      <c r="L286" s="55"/>
      <c r="M286" s="55"/>
      <c r="N286" s="56"/>
      <c r="O286" s="57"/>
      <c r="P286" s="57"/>
      <c r="Q286" s="57"/>
      <c r="R286" s="55"/>
      <c r="S286" s="58"/>
    </row>
    <row r="287" spans="1:19" x14ac:dyDescent="0.25">
      <c r="A287" s="54"/>
      <c r="B287" s="14"/>
      <c r="C287" s="55"/>
      <c r="D287" s="55"/>
      <c r="E287" s="55"/>
      <c r="F287" s="55"/>
      <c r="G287" s="55"/>
      <c r="H287" s="55"/>
      <c r="I287" s="55"/>
      <c r="J287" s="55"/>
      <c r="K287" s="56"/>
      <c r="L287" s="55"/>
      <c r="M287" s="55"/>
      <c r="N287" s="56"/>
      <c r="O287" s="57"/>
      <c r="P287" s="57"/>
      <c r="Q287" s="57"/>
      <c r="R287" s="55"/>
      <c r="S287" s="58"/>
    </row>
    <row r="288" spans="1:19" x14ac:dyDescent="0.25">
      <c r="A288" s="54"/>
      <c r="B288" s="14"/>
      <c r="C288" s="55"/>
      <c r="D288" s="55"/>
      <c r="E288" s="55"/>
      <c r="F288" s="55"/>
      <c r="G288" s="55"/>
      <c r="H288" s="55"/>
      <c r="I288" s="55"/>
      <c r="J288" s="55"/>
      <c r="K288" s="56"/>
      <c r="L288" s="55"/>
      <c r="M288" s="55"/>
      <c r="N288" s="56"/>
      <c r="O288" s="57"/>
      <c r="P288" s="57"/>
      <c r="Q288" s="57"/>
      <c r="R288" s="55"/>
      <c r="S288" s="58"/>
    </row>
    <row r="289" spans="1:19" x14ac:dyDescent="0.25">
      <c r="A289" s="54"/>
      <c r="B289" s="14"/>
      <c r="C289" s="55"/>
      <c r="D289" s="55"/>
      <c r="E289" s="55"/>
      <c r="F289" s="55"/>
      <c r="G289" s="55"/>
      <c r="H289" s="55"/>
      <c r="I289" s="55"/>
      <c r="J289" s="55"/>
      <c r="K289" s="56"/>
      <c r="L289" s="55"/>
      <c r="M289" s="55"/>
      <c r="N289" s="56"/>
      <c r="O289" s="57"/>
      <c r="P289" s="57"/>
      <c r="Q289" s="57"/>
      <c r="R289" s="55"/>
      <c r="S289" s="58"/>
    </row>
    <row r="290" spans="1:19" x14ac:dyDescent="0.25">
      <c r="A290" s="54"/>
      <c r="B290" s="14"/>
      <c r="C290" s="55"/>
      <c r="D290" s="55"/>
      <c r="E290" s="55"/>
      <c r="F290" s="55"/>
      <c r="G290" s="55"/>
      <c r="H290" s="55"/>
      <c r="I290" s="55"/>
      <c r="J290" s="55"/>
      <c r="K290" s="56"/>
      <c r="L290" s="55"/>
      <c r="M290" s="55"/>
      <c r="N290" s="56"/>
      <c r="O290" s="57"/>
      <c r="P290" s="57"/>
      <c r="Q290" s="57"/>
      <c r="R290" s="55"/>
      <c r="S290" s="58"/>
    </row>
    <row r="291" spans="1:19" x14ac:dyDescent="0.25">
      <c r="A291" s="54"/>
      <c r="B291" s="14"/>
      <c r="C291" s="55"/>
      <c r="D291" s="55"/>
      <c r="E291" s="55"/>
      <c r="F291" s="55"/>
      <c r="G291" s="55"/>
      <c r="H291" s="55"/>
      <c r="I291" s="55"/>
      <c r="J291" s="55"/>
      <c r="K291" s="56"/>
      <c r="L291" s="55"/>
      <c r="M291" s="55"/>
      <c r="N291" s="56"/>
      <c r="O291" s="57"/>
      <c r="P291" s="57"/>
      <c r="Q291" s="57"/>
      <c r="R291" s="55"/>
      <c r="S291" s="58"/>
    </row>
    <row r="292" spans="1:19" x14ac:dyDescent="0.25">
      <c r="A292" s="54"/>
      <c r="B292" s="14"/>
      <c r="C292" s="55"/>
      <c r="D292" s="55"/>
      <c r="E292" s="55"/>
      <c r="F292" s="55"/>
      <c r="G292" s="55"/>
      <c r="H292" s="55"/>
      <c r="I292" s="55"/>
      <c r="J292" s="55"/>
      <c r="K292" s="56"/>
      <c r="L292" s="55"/>
      <c r="M292" s="55"/>
      <c r="N292" s="56"/>
      <c r="O292" s="57"/>
      <c r="P292" s="57"/>
      <c r="Q292" s="57"/>
      <c r="R292" s="55"/>
      <c r="S292" s="58"/>
    </row>
    <row r="293" spans="1:19" x14ac:dyDescent="0.25">
      <c r="A293" s="54"/>
      <c r="B293" s="14"/>
      <c r="C293" s="55"/>
      <c r="D293" s="55"/>
      <c r="E293" s="55"/>
      <c r="F293" s="55"/>
      <c r="G293" s="55"/>
      <c r="H293" s="55"/>
      <c r="I293" s="55"/>
      <c r="J293" s="55"/>
      <c r="K293" s="56"/>
      <c r="L293" s="55"/>
      <c r="M293" s="55"/>
      <c r="N293" s="56"/>
      <c r="O293" s="57"/>
      <c r="P293" s="57"/>
      <c r="Q293" s="57"/>
      <c r="R293" s="55"/>
      <c r="S293" s="58"/>
    </row>
    <row r="294" spans="1:19" x14ac:dyDescent="0.25">
      <c r="A294" s="54"/>
      <c r="B294" s="14"/>
      <c r="C294" s="55"/>
      <c r="D294" s="55"/>
      <c r="E294" s="55"/>
      <c r="F294" s="55"/>
      <c r="G294" s="55"/>
      <c r="H294" s="55"/>
      <c r="I294" s="55"/>
      <c r="J294" s="55"/>
      <c r="K294" s="56"/>
      <c r="L294" s="55"/>
      <c r="M294" s="55"/>
      <c r="N294" s="56"/>
      <c r="O294" s="57"/>
      <c r="P294" s="57"/>
      <c r="Q294" s="57"/>
      <c r="R294" s="55"/>
      <c r="S294" s="58"/>
    </row>
    <row r="295" spans="1:19" x14ac:dyDescent="0.25">
      <c r="A295" s="54"/>
      <c r="B295" s="14"/>
      <c r="C295" s="55"/>
      <c r="D295" s="55"/>
      <c r="E295" s="55"/>
      <c r="F295" s="55"/>
      <c r="G295" s="55"/>
      <c r="H295" s="55"/>
      <c r="I295" s="55"/>
      <c r="J295" s="55"/>
      <c r="K295" s="56"/>
      <c r="L295" s="55"/>
      <c r="M295" s="55"/>
      <c r="N295" s="56"/>
      <c r="O295" s="57"/>
      <c r="P295" s="57"/>
      <c r="Q295" s="57"/>
      <c r="R295" s="55"/>
      <c r="S295" s="58"/>
    </row>
    <row r="296" spans="1:19" x14ac:dyDescent="0.25">
      <c r="A296" s="54"/>
      <c r="B296" s="14"/>
      <c r="C296" s="55"/>
      <c r="D296" s="55"/>
      <c r="E296" s="55"/>
      <c r="F296" s="55"/>
      <c r="G296" s="55"/>
      <c r="H296" s="55"/>
      <c r="I296" s="55"/>
      <c r="J296" s="55"/>
      <c r="K296" s="56"/>
      <c r="L296" s="55"/>
      <c r="M296" s="55"/>
      <c r="N296" s="56"/>
      <c r="O296" s="57"/>
      <c r="P296" s="57"/>
      <c r="Q296" s="57"/>
      <c r="R296" s="55"/>
      <c r="S296" s="58"/>
    </row>
    <row r="297" spans="1:19" x14ac:dyDescent="0.25">
      <c r="A297" s="54"/>
      <c r="B297" s="14"/>
      <c r="C297" s="55"/>
      <c r="D297" s="55"/>
      <c r="E297" s="55"/>
      <c r="F297" s="55"/>
      <c r="G297" s="55"/>
      <c r="H297" s="55"/>
      <c r="I297" s="55"/>
      <c r="J297" s="55"/>
      <c r="K297" s="56"/>
      <c r="L297" s="55"/>
      <c r="M297" s="55"/>
      <c r="N297" s="56"/>
      <c r="O297" s="57"/>
      <c r="P297" s="57"/>
      <c r="Q297" s="57"/>
      <c r="R297" s="55"/>
      <c r="S297" s="58"/>
    </row>
    <row r="298" spans="1:19" x14ac:dyDescent="0.25">
      <c r="A298" s="54"/>
      <c r="B298" s="14"/>
      <c r="C298" s="55"/>
      <c r="D298" s="55"/>
      <c r="E298" s="55"/>
      <c r="F298" s="55"/>
      <c r="G298" s="55"/>
      <c r="H298" s="55"/>
      <c r="I298" s="55"/>
      <c r="J298" s="55"/>
      <c r="K298" s="56"/>
      <c r="L298" s="55"/>
      <c r="M298" s="55"/>
      <c r="N298" s="56"/>
      <c r="O298" s="57"/>
      <c r="P298" s="57"/>
      <c r="Q298" s="57"/>
      <c r="R298" s="55"/>
      <c r="S298" s="58"/>
    </row>
    <row r="299" spans="1:19" x14ac:dyDescent="0.25">
      <c r="A299" s="54"/>
      <c r="B299" s="14"/>
      <c r="C299" s="55"/>
      <c r="D299" s="55"/>
      <c r="E299" s="55"/>
      <c r="F299" s="55"/>
      <c r="G299" s="55"/>
      <c r="H299" s="55"/>
      <c r="I299" s="55"/>
      <c r="J299" s="55"/>
      <c r="K299" s="56"/>
      <c r="L299" s="55"/>
      <c r="M299" s="55"/>
      <c r="N299" s="56"/>
      <c r="O299" s="57"/>
      <c r="P299" s="57"/>
      <c r="Q299" s="57"/>
      <c r="R299" s="55"/>
      <c r="S299" s="58"/>
    </row>
    <row r="300" spans="1:19" x14ac:dyDescent="0.25">
      <c r="A300" s="54"/>
      <c r="B300" s="14"/>
      <c r="C300" s="55"/>
      <c r="D300" s="55"/>
      <c r="E300" s="55"/>
      <c r="F300" s="55"/>
      <c r="G300" s="55"/>
      <c r="H300" s="55"/>
      <c r="I300" s="55"/>
      <c r="J300" s="55"/>
      <c r="K300" s="56"/>
      <c r="L300" s="55"/>
      <c r="M300" s="55"/>
      <c r="N300" s="56"/>
      <c r="O300" s="57"/>
      <c r="P300" s="57"/>
      <c r="Q300" s="57"/>
      <c r="R300" s="55"/>
      <c r="S300" s="58"/>
    </row>
    <row r="301" spans="1:19" x14ac:dyDescent="0.25">
      <c r="A301" s="54"/>
      <c r="B301" s="14"/>
      <c r="C301" s="55"/>
      <c r="D301" s="55"/>
      <c r="E301" s="55"/>
      <c r="F301" s="55"/>
      <c r="G301" s="55"/>
      <c r="H301" s="55"/>
      <c r="I301" s="55"/>
      <c r="J301" s="55"/>
      <c r="K301" s="56"/>
      <c r="L301" s="55"/>
      <c r="M301" s="55"/>
      <c r="N301" s="56"/>
      <c r="O301" s="57"/>
      <c r="P301" s="57"/>
      <c r="Q301" s="57"/>
      <c r="R301" s="55"/>
      <c r="S301" s="58"/>
    </row>
    <row r="302" spans="1:19" x14ac:dyDescent="0.25">
      <c r="A302" s="54"/>
      <c r="B302" s="14"/>
      <c r="C302" s="55"/>
      <c r="D302" s="55"/>
      <c r="E302" s="55"/>
      <c r="F302" s="55"/>
      <c r="G302" s="55"/>
      <c r="H302" s="55"/>
      <c r="I302" s="55"/>
      <c r="J302" s="55"/>
      <c r="K302" s="56"/>
      <c r="L302" s="55"/>
      <c r="M302" s="55"/>
      <c r="N302" s="56"/>
      <c r="O302" s="57"/>
      <c r="P302" s="57"/>
      <c r="Q302" s="57"/>
      <c r="R302" s="55"/>
      <c r="S302" s="58"/>
    </row>
    <row r="303" spans="1:19" x14ac:dyDescent="0.25">
      <c r="A303" s="54"/>
      <c r="B303" s="14"/>
      <c r="C303" s="55"/>
      <c r="D303" s="55"/>
      <c r="E303" s="55"/>
      <c r="F303" s="55"/>
      <c r="G303" s="55"/>
      <c r="H303" s="55"/>
      <c r="I303" s="55"/>
      <c r="J303" s="55"/>
      <c r="K303" s="56"/>
      <c r="L303" s="55"/>
      <c r="M303" s="55"/>
      <c r="N303" s="56"/>
      <c r="O303" s="57"/>
      <c r="P303" s="57"/>
      <c r="Q303" s="57"/>
      <c r="R303" s="55"/>
      <c r="S303" s="58"/>
    </row>
    <row r="304" spans="1:19" x14ac:dyDescent="0.25">
      <c r="A304" s="54"/>
      <c r="B304" s="14"/>
      <c r="C304" s="55"/>
      <c r="D304" s="55"/>
      <c r="E304" s="55"/>
      <c r="F304" s="55"/>
      <c r="G304" s="55"/>
      <c r="H304" s="55"/>
      <c r="I304" s="55"/>
      <c r="J304" s="55"/>
      <c r="K304" s="56"/>
      <c r="L304" s="55"/>
      <c r="M304" s="55"/>
      <c r="N304" s="56"/>
      <c r="O304" s="57"/>
      <c r="P304" s="57"/>
      <c r="Q304" s="57"/>
      <c r="R304" s="55"/>
      <c r="S304" s="58"/>
    </row>
    <row r="305" spans="1:19" x14ac:dyDescent="0.25">
      <c r="A305" s="54"/>
      <c r="B305" s="14"/>
      <c r="C305" s="55"/>
      <c r="D305" s="55"/>
      <c r="E305" s="55"/>
      <c r="F305" s="55"/>
      <c r="G305" s="55"/>
      <c r="H305" s="55"/>
      <c r="I305" s="55"/>
      <c r="J305" s="55"/>
      <c r="K305" s="56"/>
      <c r="L305" s="55"/>
      <c r="M305" s="55"/>
      <c r="N305" s="56"/>
      <c r="O305" s="57"/>
      <c r="P305" s="57"/>
      <c r="Q305" s="57"/>
      <c r="R305" s="55"/>
      <c r="S305" s="58"/>
    </row>
    <row r="306" spans="1:19" x14ac:dyDescent="0.25">
      <c r="A306" s="54"/>
      <c r="B306" s="14"/>
      <c r="C306" s="55"/>
      <c r="D306" s="55"/>
      <c r="E306" s="55"/>
      <c r="F306" s="55"/>
      <c r="G306" s="55"/>
      <c r="H306" s="55"/>
      <c r="I306" s="55"/>
      <c r="J306" s="55"/>
      <c r="K306" s="56"/>
      <c r="L306" s="55"/>
      <c r="M306" s="55"/>
      <c r="N306" s="56"/>
      <c r="O306" s="57"/>
      <c r="P306" s="57"/>
      <c r="Q306" s="57"/>
      <c r="R306" s="55"/>
      <c r="S306" s="58"/>
    </row>
    <row r="307" spans="1:19" x14ac:dyDescent="0.25">
      <c r="A307" s="54"/>
      <c r="B307" s="14"/>
      <c r="C307" s="55"/>
      <c r="D307" s="55"/>
      <c r="E307" s="55"/>
      <c r="F307" s="55"/>
      <c r="G307" s="55"/>
      <c r="H307" s="55"/>
      <c r="I307" s="55"/>
      <c r="J307" s="55"/>
      <c r="K307" s="56"/>
      <c r="L307" s="55"/>
      <c r="M307" s="55"/>
      <c r="N307" s="56"/>
      <c r="O307" s="57"/>
      <c r="P307" s="57"/>
      <c r="Q307" s="57"/>
      <c r="R307" s="55"/>
      <c r="S307" s="58"/>
    </row>
    <row r="308" spans="1:19" x14ac:dyDescent="0.25">
      <c r="A308" s="54"/>
      <c r="B308" s="14"/>
      <c r="C308" s="55"/>
      <c r="D308" s="55"/>
      <c r="E308" s="55"/>
      <c r="F308" s="55"/>
      <c r="G308" s="55"/>
      <c r="H308" s="55"/>
      <c r="I308" s="55"/>
      <c r="J308" s="55"/>
      <c r="K308" s="56"/>
      <c r="L308" s="55"/>
      <c r="M308" s="55"/>
      <c r="N308" s="56"/>
      <c r="O308" s="57"/>
      <c r="P308" s="57"/>
      <c r="Q308" s="57"/>
      <c r="R308" s="55"/>
      <c r="S308" s="58"/>
    </row>
    <row r="309" spans="1:19" x14ac:dyDescent="0.25">
      <c r="A309" s="54"/>
      <c r="B309" s="14"/>
      <c r="C309" s="55"/>
      <c r="D309" s="55"/>
      <c r="E309" s="55"/>
      <c r="F309" s="55"/>
      <c r="G309" s="55"/>
      <c r="H309" s="55"/>
      <c r="I309" s="55"/>
      <c r="J309" s="55"/>
      <c r="K309" s="56"/>
      <c r="L309" s="55"/>
      <c r="M309" s="55"/>
      <c r="N309" s="56"/>
      <c r="O309" s="57"/>
      <c r="P309" s="57"/>
      <c r="Q309" s="57"/>
      <c r="R309" s="55"/>
      <c r="S309" s="58"/>
    </row>
    <row r="310" spans="1:19" x14ac:dyDescent="0.25">
      <c r="A310" s="54"/>
      <c r="B310" s="14"/>
      <c r="C310" s="55"/>
      <c r="D310" s="55"/>
      <c r="E310" s="55"/>
      <c r="F310" s="55"/>
      <c r="G310" s="55"/>
      <c r="H310" s="55"/>
      <c r="I310" s="55"/>
      <c r="J310" s="55"/>
      <c r="K310" s="56"/>
      <c r="L310" s="55"/>
      <c r="M310" s="55"/>
      <c r="N310" s="56"/>
      <c r="O310" s="57"/>
      <c r="P310" s="57"/>
      <c r="Q310" s="57"/>
      <c r="R310" s="55"/>
      <c r="S310" s="58"/>
    </row>
    <row r="311" spans="1:19" x14ac:dyDescent="0.25">
      <c r="A311" s="54"/>
      <c r="B311" s="14"/>
      <c r="C311" s="55"/>
      <c r="D311" s="55"/>
      <c r="E311" s="55"/>
      <c r="F311" s="55"/>
      <c r="G311" s="55"/>
      <c r="H311" s="55"/>
      <c r="I311" s="55"/>
      <c r="J311" s="55"/>
      <c r="K311" s="56"/>
      <c r="L311" s="55"/>
      <c r="M311" s="55"/>
      <c r="N311" s="56"/>
      <c r="O311" s="57"/>
      <c r="P311" s="57"/>
      <c r="Q311" s="57"/>
      <c r="R311" s="55"/>
      <c r="S311" s="58"/>
    </row>
    <row r="312" spans="1:19" x14ac:dyDescent="0.25">
      <c r="A312" s="54"/>
      <c r="B312" s="14"/>
      <c r="C312" s="55"/>
      <c r="D312" s="55"/>
      <c r="E312" s="55"/>
      <c r="F312" s="55"/>
      <c r="G312" s="55"/>
      <c r="H312" s="55"/>
      <c r="I312" s="55"/>
      <c r="J312" s="55"/>
      <c r="K312" s="56"/>
      <c r="L312" s="55"/>
      <c r="M312" s="55"/>
      <c r="N312" s="56"/>
      <c r="O312" s="57"/>
      <c r="P312" s="57"/>
      <c r="Q312" s="57"/>
      <c r="R312" s="55"/>
      <c r="S312" s="58"/>
    </row>
    <row r="313" spans="1:19" x14ac:dyDescent="0.25">
      <c r="A313" s="54"/>
      <c r="B313" s="14"/>
      <c r="C313" s="55"/>
      <c r="D313" s="55"/>
      <c r="E313" s="55"/>
      <c r="F313" s="55"/>
      <c r="G313" s="55"/>
      <c r="H313" s="55"/>
      <c r="I313" s="55"/>
      <c r="J313" s="55"/>
      <c r="K313" s="56"/>
      <c r="L313" s="55"/>
      <c r="M313" s="55"/>
      <c r="N313" s="56"/>
      <c r="O313" s="57"/>
      <c r="P313" s="57"/>
      <c r="Q313" s="57"/>
      <c r="R313" s="55"/>
      <c r="S313" s="58"/>
    </row>
    <row r="314" spans="1:19" x14ac:dyDescent="0.25">
      <c r="A314" s="54"/>
      <c r="B314" s="14"/>
      <c r="C314" s="55"/>
      <c r="D314" s="55"/>
      <c r="E314" s="55"/>
      <c r="F314" s="55"/>
      <c r="G314" s="55"/>
      <c r="H314" s="55"/>
      <c r="I314" s="55"/>
      <c r="J314" s="55"/>
      <c r="K314" s="56"/>
      <c r="L314" s="55"/>
      <c r="M314" s="55"/>
      <c r="N314" s="56"/>
      <c r="O314" s="57"/>
      <c r="P314" s="57"/>
      <c r="Q314" s="57"/>
      <c r="R314" s="55"/>
      <c r="S314" s="58"/>
    </row>
    <row r="315" spans="1:19" x14ac:dyDescent="0.25">
      <c r="A315" s="54"/>
      <c r="B315" s="14"/>
      <c r="C315" s="55"/>
      <c r="D315" s="55"/>
      <c r="E315" s="55"/>
      <c r="F315" s="55"/>
      <c r="G315" s="55"/>
      <c r="H315" s="55"/>
      <c r="I315" s="55"/>
      <c r="J315" s="55"/>
      <c r="K315" s="56"/>
      <c r="L315" s="55"/>
      <c r="M315" s="55"/>
      <c r="N315" s="56"/>
      <c r="O315" s="57"/>
      <c r="P315" s="57"/>
      <c r="Q315" s="57"/>
      <c r="R315" s="55"/>
      <c r="S315" s="58"/>
    </row>
    <row r="316" spans="1:19" x14ac:dyDescent="0.25">
      <c r="A316" s="54"/>
      <c r="B316" s="14"/>
      <c r="C316" s="55"/>
      <c r="D316" s="55"/>
      <c r="E316" s="55"/>
      <c r="F316" s="55"/>
      <c r="G316" s="55"/>
      <c r="H316" s="55"/>
      <c r="I316" s="55"/>
      <c r="J316" s="55"/>
      <c r="K316" s="56"/>
      <c r="L316" s="55"/>
      <c r="M316" s="55"/>
      <c r="N316" s="56"/>
      <c r="O316" s="57"/>
      <c r="P316" s="57"/>
      <c r="Q316" s="57"/>
      <c r="R316" s="55"/>
      <c r="S316" s="58"/>
    </row>
    <row r="317" spans="1:19" x14ac:dyDescent="0.25">
      <c r="A317" s="54"/>
      <c r="B317" s="14"/>
      <c r="C317" s="55"/>
      <c r="D317" s="55"/>
      <c r="E317" s="55"/>
      <c r="F317" s="55"/>
      <c r="G317" s="55"/>
      <c r="H317" s="55"/>
      <c r="I317" s="55"/>
      <c r="J317" s="55"/>
      <c r="K317" s="56"/>
      <c r="L317" s="55"/>
      <c r="M317" s="55"/>
      <c r="N317" s="56"/>
      <c r="O317" s="57"/>
      <c r="P317" s="57"/>
      <c r="Q317" s="57"/>
      <c r="R317" s="55"/>
      <c r="S317" s="58"/>
    </row>
    <row r="318" spans="1:19" x14ac:dyDescent="0.25">
      <c r="A318" s="54"/>
      <c r="B318" s="14"/>
      <c r="C318" s="55"/>
      <c r="D318" s="55"/>
      <c r="E318" s="55"/>
      <c r="F318" s="55"/>
      <c r="G318" s="55"/>
      <c r="H318" s="55"/>
      <c r="I318" s="55"/>
      <c r="J318" s="55"/>
      <c r="K318" s="56"/>
      <c r="L318" s="55"/>
      <c r="M318" s="55"/>
      <c r="N318" s="56"/>
      <c r="O318" s="57"/>
      <c r="P318" s="57"/>
      <c r="Q318" s="57"/>
      <c r="R318" s="55"/>
      <c r="S318" s="58"/>
    </row>
    <row r="319" spans="1:19" x14ac:dyDescent="0.25">
      <c r="A319" s="54"/>
      <c r="B319" s="14"/>
      <c r="C319" s="55"/>
      <c r="D319" s="55"/>
      <c r="E319" s="55"/>
      <c r="F319" s="55"/>
      <c r="G319" s="55"/>
      <c r="H319" s="55"/>
      <c r="I319" s="55"/>
      <c r="J319" s="55"/>
      <c r="K319" s="56"/>
      <c r="L319" s="55"/>
      <c r="M319" s="55"/>
      <c r="N319" s="56"/>
      <c r="O319" s="57"/>
      <c r="P319" s="57"/>
      <c r="Q319" s="57"/>
      <c r="R319" s="55"/>
      <c r="S319" s="58"/>
    </row>
    <row r="320" spans="1:19" x14ac:dyDescent="0.25">
      <c r="A320" s="54"/>
      <c r="B320" s="14"/>
      <c r="C320" s="55"/>
      <c r="D320" s="55"/>
      <c r="E320" s="55"/>
      <c r="F320" s="55"/>
      <c r="G320" s="55"/>
      <c r="H320" s="55"/>
      <c r="I320" s="55"/>
      <c r="J320" s="55"/>
      <c r="K320" s="56"/>
      <c r="L320" s="55"/>
      <c r="M320" s="55"/>
      <c r="N320" s="56"/>
      <c r="O320" s="57"/>
      <c r="P320" s="57"/>
      <c r="Q320" s="57"/>
      <c r="R320" s="55"/>
      <c r="S320" s="58"/>
    </row>
    <row r="321" spans="1:19" x14ac:dyDescent="0.25">
      <c r="A321" s="54"/>
      <c r="B321" s="14"/>
      <c r="C321" s="55"/>
      <c r="D321" s="55"/>
      <c r="E321" s="55"/>
      <c r="F321" s="55"/>
      <c r="G321" s="55"/>
      <c r="H321" s="55"/>
      <c r="I321" s="55"/>
      <c r="J321" s="55"/>
      <c r="K321" s="56"/>
      <c r="L321" s="55"/>
      <c r="M321" s="55"/>
      <c r="N321" s="56"/>
      <c r="O321" s="57"/>
      <c r="P321" s="57"/>
      <c r="Q321" s="57"/>
      <c r="R321" s="55"/>
      <c r="S321" s="58"/>
    </row>
    <row r="322" spans="1:19" x14ac:dyDescent="0.25">
      <c r="A322" s="54"/>
      <c r="B322" s="14"/>
      <c r="C322" s="55"/>
      <c r="D322" s="55"/>
      <c r="E322" s="55"/>
      <c r="F322" s="55"/>
      <c r="G322" s="55"/>
      <c r="H322" s="55"/>
      <c r="I322" s="55"/>
      <c r="J322" s="55"/>
      <c r="K322" s="56"/>
      <c r="L322" s="55"/>
      <c r="M322" s="55"/>
      <c r="N322" s="56"/>
      <c r="O322" s="57"/>
      <c r="P322" s="57"/>
      <c r="Q322" s="57"/>
      <c r="R322" s="55"/>
      <c r="S322" s="58"/>
    </row>
    <row r="323" spans="1:19" x14ac:dyDescent="0.25">
      <c r="A323" s="54"/>
      <c r="B323" s="14"/>
      <c r="C323" s="55"/>
      <c r="D323" s="55"/>
      <c r="E323" s="55"/>
      <c r="F323" s="55"/>
      <c r="G323" s="55"/>
      <c r="H323" s="55"/>
      <c r="I323" s="55"/>
      <c r="J323" s="55"/>
      <c r="K323" s="56"/>
      <c r="L323" s="55"/>
      <c r="M323" s="55"/>
      <c r="N323" s="56"/>
      <c r="O323" s="57"/>
      <c r="P323" s="57"/>
      <c r="Q323" s="57"/>
      <c r="R323" s="55"/>
      <c r="S323" s="58"/>
    </row>
    <row r="324" spans="1:19" x14ac:dyDescent="0.25">
      <c r="A324" s="54"/>
      <c r="B324" s="14"/>
      <c r="C324" s="55"/>
      <c r="D324" s="55"/>
      <c r="E324" s="55"/>
      <c r="F324" s="55"/>
      <c r="G324" s="55"/>
      <c r="H324" s="55"/>
      <c r="I324" s="55"/>
      <c r="J324" s="55"/>
      <c r="K324" s="56"/>
      <c r="L324" s="55"/>
      <c r="M324" s="55"/>
      <c r="N324" s="56"/>
      <c r="O324" s="57"/>
      <c r="P324" s="57"/>
      <c r="Q324" s="57"/>
      <c r="R324" s="55"/>
      <c r="S324" s="58"/>
    </row>
    <row r="325" spans="1:19" x14ac:dyDescent="0.25">
      <c r="A325" s="54"/>
      <c r="B325" s="14"/>
      <c r="C325" s="55"/>
      <c r="D325" s="55"/>
      <c r="E325" s="55"/>
      <c r="F325" s="55"/>
      <c r="G325" s="55"/>
      <c r="H325" s="55"/>
      <c r="I325" s="55"/>
      <c r="J325" s="55"/>
      <c r="K325" s="56"/>
      <c r="L325" s="55"/>
      <c r="M325" s="55"/>
      <c r="N325" s="56"/>
      <c r="O325" s="57"/>
      <c r="P325" s="57"/>
      <c r="Q325" s="57"/>
      <c r="R325" s="55"/>
      <c r="S325" s="58"/>
    </row>
    <row r="326" spans="1:19" x14ac:dyDescent="0.25">
      <c r="A326" s="54"/>
      <c r="B326" s="14"/>
      <c r="C326" s="55"/>
      <c r="D326" s="55"/>
      <c r="E326" s="55"/>
      <c r="F326" s="55"/>
      <c r="G326" s="55"/>
      <c r="H326" s="55"/>
      <c r="I326" s="55"/>
      <c r="J326" s="55"/>
      <c r="K326" s="56"/>
      <c r="L326" s="55"/>
      <c r="M326" s="55"/>
      <c r="N326" s="56"/>
      <c r="O326" s="57"/>
      <c r="P326" s="57"/>
      <c r="Q326" s="57"/>
      <c r="R326" s="55"/>
      <c r="S326" s="58"/>
    </row>
    <row r="327" spans="1:19" x14ac:dyDescent="0.25">
      <c r="A327" s="54"/>
      <c r="B327" s="14"/>
      <c r="C327" s="55"/>
      <c r="D327" s="55"/>
      <c r="E327" s="55"/>
      <c r="F327" s="55"/>
      <c r="G327" s="55"/>
      <c r="H327" s="55"/>
      <c r="I327" s="55"/>
      <c r="J327" s="55"/>
      <c r="K327" s="56"/>
      <c r="L327" s="55"/>
      <c r="M327" s="55"/>
      <c r="N327" s="56"/>
      <c r="O327" s="57"/>
      <c r="P327" s="57"/>
      <c r="Q327" s="57"/>
      <c r="R327" s="55"/>
      <c r="S327" s="58"/>
    </row>
    <row r="328" spans="1:19" x14ac:dyDescent="0.25">
      <c r="A328" s="54"/>
      <c r="B328" s="14"/>
      <c r="C328" s="55"/>
      <c r="D328" s="55"/>
      <c r="E328" s="55"/>
      <c r="F328" s="55"/>
      <c r="G328" s="55"/>
      <c r="H328" s="55"/>
      <c r="I328" s="55"/>
      <c r="J328" s="55"/>
      <c r="K328" s="56"/>
      <c r="L328" s="55"/>
      <c r="M328" s="55"/>
      <c r="N328" s="56"/>
      <c r="O328" s="57"/>
      <c r="P328" s="57"/>
      <c r="Q328" s="57"/>
      <c r="R328" s="55"/>
      <c r="S328" s="58"/>
    </row>
    <row r="329" spans="1:19" x14ac:dyDescent="0.25">
      <c r="A329" s="54"/>
      <c r="B329" s="14"/>
      <c r="C329" s="55"/>
      <c r="D329" s="55"/>
      <c r="E329" s="55"/>
      <c r="F329" s="55"/>
      <c r="G329" s="55"/>
      <c r="H329" s="55"/>
      <c r="I329" s="55"/>
      <c r="J329" s="55"/>
      <c r="K329" s="56"/>
      <c r="L329" s="55"/>
      <c r="M329" s="55"/>
      <c r="N329" s="56"/>
      <c r="O329" s="57"/>
      <c r="P329" s="57"/>
      <c r="Q329" s="57"/>
      <c r="R329" s="55"/>
      <c r="S329" s="58"/>
    </row>
    <row r="330" spans="1:19" x14ac:dyDescent="0.25">
      <c r="A330" s="54"/>
      <c r="B330" s="14"/>
      <c r="C330" s="55"/>
      <c r="D330" s="55"/>
      <c r="E330" s="55"/>
      <c r="F330" s="55"/>
      <c r="G330" s="55"/>
      <c r="H330" s="55"/>
      <c r="I330" s="55"/>
      <c r="J330" s="55"/>
      <c r="K330" s="56"/>
      <c r="L330" s="55"/>
      <c r="M330" s="55"/>
      <c r="N330" s="56"/>
      <c r="O330" s="57"/>
      <c r="P330" s="57"/>
      <c r="Q330" s="57"/>
      <c r="R330" s="55"/>
      <c r="S330" s="58"/>
    </row>
    <row r="331" spans="1:19" x14ac:dyDescent="0.25">
      <c r="A331" s="54"/>
      <c r="B331" s="14"/>
      <c r="C331" s="55"/>
      <c r="D331" s="55"/>
      <c r="E331" s="55"/>
      <c r="F331" s="55"/>
      <c r="G331" s="55"/>
      <c r="H331" s="55"/>
      <c r="I331" s="55"/>
      <c r="J331" s="55"/>
      <c r="K331" s="56"/>
      <c r="L331" s="55"/>
      <c r="M331" s="55"/>
      <c r="N331" s="56"/>
      <c r="O331" s="57"/>
      <c r="P331" s="57"/>
      <c r="Q331" s="57"/>
      <c r="R331" s="55"/>
      <c r="S331" s="58"/>
    </row>
    <row r="332" spans="1:19" x14ac:dyDescent="0.25">
      <c r="A332" s="54"/>
      <c r="B332" s="14"/>
      <c r="C332" s="55"/>
      <c r="D332" s="55"/>
      <c r="E332" s="55"/>
      <c r="F332" s="55"/>
      <c r="G332" s="55"/>
      <c r="H332" s="55"/>
      <c r="I332" s="55"/>
      <c r="J332" s="55"/>
      <c r="K332" s="56"/>
      <c r="L332" s="55"/>
      <c r="M332" s="55"/>
      <c r="N332" s="56"/>
      <c r="O332" s="57"/>
      <c r="P332" s="57"/>
      <c r="Q332" s="57"/>
      <c r="R332" s="55"/>
      <c r="S332" s="58"/>
    </row>
    <row r="333" spans="1:19" x14ac:dyDescent="0.25">
      <c r="A333" s="54"/>
      <c r="B333" s="14"/>
      <c r="C333" s="55"/>
      <c r="D333" s="55"/>
      <c r="E333" s="55"/>
      <c r="F333" s="55"/>
      <c r="G333" s="55"/>
      <c r="H333" s="55"/>
      <c r="I333" s="55"/>
      <c r="J333" s="55"/>
      <c r="K333" s="56"/>
      <c r="L333" s="55"/>
      <c r="M333" s="55"/>
      <c r="N333" s="56"/>
      <c r="O333" s="57"/>
      <c r="P333" s="57"/>
      <c r="Q333" s="57"/>
      <c r="R333" s="55"/>
      <c r="S333" s="58"/>
    </row>
    <row r="334" spans="1:19" x14ac:dyDescent="0.25">
      <c r="A334" s="54"/>
      <c r="B334" s="14"/>
      <c r="C334" s="55"/>
      <c r="D334" s="55"/>
      <c r="E334" s="55"/>
      <c r="F334" s="55"/>
      <c r="G334" s="55"/>
      <c r="H334" s="55"/>
      <c r="I334" s="55"/>
      <c r="J334" s="55"/>
      <c r="K334" s="56"/>
      <c r="L334" s="55"/>
      <c r="M334" s="55"/>
      <c r="N334" s="56"/>
      <c r="O334" s="57"/>
      <c r="P334" s="57"/>
      <c r="Q334" s="57"/>
      <c r="R334" s="55"/>
      <c r="S334" s="58"/>
    </row>
    <row r="335" spans="1:19" x14ac:dyDescent="0.25">
      <c r="A335" s="54"/>
      <c r="B335" s="14"/>
      <c r="C335" s="55"/>
      <c r="D335" s="55"/>
      <c r="E335" s="55"/>
      <c r="F335" s="55"/>
      <c r="G335" s="55"/>
      <c r="H335" s="55"/>
      <c r="I335" s="55"/>
      <c r="J335" s="55"/>
      <c r="K335" s="56"/>
      <c r="L335" s="55"/>
      <c r="M335" s="55"/>
      <c r="N335" s="56"/>
      <c r="O335" s="57"/>
      <c r="P335" s="57"/>
      <c r="Q335" s="57"/>
      <c r="R335" s="55"/>
      <c r="S335" s="58"/>
    </row>
    <row r="336" spans="1:19" x14ac:dyDescent="0.25">
      <c r="A336" s="54"/>
      <c r="B336" s="14"/>
      <c r="C336" s="55"/>
      <c r="D336" s="55"/>
      <c r="E336" s="55"/>
      <c r="F336" s="55"/>
      <c r="G336" s="55"/>
      <c r="H336" s="55"/>
      <c r="I336" s="55"/>
      <c r="J336" s="55"/>
      <c r="K336" s="56"/>
      <c r="L336" s="55"/>
      <c r="M336" s="55"/>
      <c r="N336" s="56"/>
      <c r="O336" s="57"/>
      <c r="P336" s="57"/>
      <c r="Q336" s="57"/>
      <c r="R336" s="55"/>
      <c r="S336" s="58"/>
    </row>
    <row r="337" spans="1:19" x14ac:dyDescent="0.25">
      <c r="A337" s="54"/>
      <c r="B337" s="14"/>
      <c r="C337" s="55"/>
      <c r="D337" s="55"/>
      <c r="E337" s="55"/>
      <c r="F337" s="55"/>
      <c r="G337" s="55"/>
      <c r="H337" s="55"/>
      <c r="I337" s="55"/>
      <c r="J337" s="55"/>
      <c r="K337" s="56"/>
      <c r="L337" s="55"/>
      <c r="M337" s="55"/>
      <c r="N337" s="56"/>
      <c r="O337" s="57"/>
      <c r="P337" s="57"/>
      <c r="Q337" s="57"/>
      <c r="R337" s="55"/>
      <c r="S337" s="58"/>
    </row>
    <row r="338" spans="1:19" x14ac:dyDescent="0.25">
      <c r="A338" s="54"/>
      <c r="B338" s="14"/>
      <c r="C338" s="55"/>
      <c r="D338" s="55"/>
      <c r="E338" s="55"/>
      <c r="F338" s="55"/>
      <c r="G338" s="55"/>
      <c r="H338" s="55"/>
      <c r="I338" s="55"/>
      <c r="J338" s="55"/>
      <c r="K338" s="56"/>
      <c r="L338" s="55"/>
      <c r="M338" s="55"/>
      <c r="N338" s="56"/>
      <c r="O338" s="57"/>
      <c r="P338" s="57"/>
      <c r="Q338" s="57"/>
      <c r="R338" s="55"/>
      <c r="S338" s="58"/>
    </row>
    <row r="339" spans="1:19" x14ac:dyDescent="0.25">
      <c r="A339" s="54"/>
      <c r="B339" s="14"/>
      <c r="C339" s="55"/>
      <c r="D339" s="55"/>
      <c r="E339" s="55"/>
      <c r="F339" s="55"/>
      <c r="G339" s="55"/>
      <c r="H339" s="55"/>
      <c r="I339" s="55"/>
      <c r="J339" s="55"/>
      <c r="K339" s="39"/>
      <c r="L339" s="55"/>
      <c r="M339" s="55"/>
      <c r="N339" s="39"/>
      <c r="O339" s="57"/>
      <c r="P339" s="57"/>
      <c r="Q339" s="57"/>
      <c r="R339" s="55"/>
      <c r="S339" s="58"/>
    </row>
    <row r="340" spans="1:19" x14ac:dyDescent="0.25">
      <c r="A340" s="39"/>
      <c r="B340" s="39"/>
      <c r="C340" s="55"/>
      <c r="D340" s="55"/>
      <c r="E340" s="55"/>
      <c r="F340" s="55"/>
      <c r="G340" s="55"/>
      <c r="H340" s="55"/>
      <c r="I340" s="55"/>
      <c r="J340" s="55"/>
      <c r="K340" s="39"/>
      <c r="L340" s="55"/>
      <c r="M340" s="55"/>
      <c r="N340" s="39"/>
      <c r="O340" s="57"/>
      <c r="P340" s="57"/>
      <c r="Q340" s="57"/>
      <c r="R340" s="57"/>
      <c r="S340" s="57"/>
    </row>
    <row r="341" spans="1:19" x14ac:dyDescent="0.25">
      <c r="A341" s="39"/>
      <c r="B341" s="40"/>
      <c r="C341" s="55"/>
      <c r="D341" s="55"/>
      <c r="E341" s="55"/>
      <c r="F341" s="55"/>
      <c r="G341" s="55"/>
      <c r="H341" s="55"/>
      <c r="I341" s="55"/>
      <c r="J341" s="55"/>
      <c r="K341" s="59"/>
      <c r="L341" s="55"/>
      <c r="M341" s="55"/>
      <c r="N341" s="39"/>
      <c r="O341" s="57"/>
      <c r="P341" s="57"/>
      <c r="Q341" s="57"/>
      <c r="R341" s="57"/>
      <c r="S341" s="57"/>
    </row>
    <row r="342" spans="1:19" x14ac:dyDescent="0.25">
      <c r="A342" s="14"/>
      <c r="B342" s="14"/>
      <c r="C342" s="55"/>
      <c r="D342" s="55"/>
      <c r="E342" s="55"/>
      <c r="F342" s="14"/>
      <c r="G342" s="55"/>
      <c r="H342" s="14"/>
      <c r="I342" s="14"/>
      <c r="J342" s="14"/>
      <c r="K342" s="14"/>
      <c r="L342" s="14"/>
      <c r="M342" s="14"/>
      <c r="N342" s="14"/>
      <c r="O342" s="57"/>
      <c r="P342" s="57"/>
      <c r="Q342" s="57"/>
      <c r="R342" s="57"/>
      <c r="S342" s="57"/>
    </row>
    <row r="343" spans="1:19" x14ac:dyDescent="0.25">
      <c r="A343" s="14"/>
      <c r="B343" s="14"/>
      <c r="C343" s="55"/>
      <c r="D343" s="58"/>
      <c r="E343" s="58"/>
      <c r="F343" s="14"/>
      <c r="G343" s="58"/>
      <c r="H343" s="14"/>
      <c r="I343" s="14"/>
      <c r="J343" s="14"/>
      <c r="K343" s="14"/>
      <c r="L343" s="14"/>
      <c r="M343" s="14"/>
      <c r="N343" s="14"/>
      <c r="O343" s="57"/>
      <c r="P343" s="57"/>
      <c r="Q343" s="57"/>
      <c r="R343" s="57"/>
      <c r="S343" s="57"/>
    </row>
    <row r="344" spans="1:19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57"/>
      <c r="P344" s="57"/>
      <c r="Q344" s="57"/>
      <c r="R344" s="57"/>
      <c r="S344" s="57"/>
    </row>
    <row r="345" spans="1:19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57"/>
      <c r="P345" s="57"/>
      <c r="Q345" s="57"/>
      <c r="R345" s="57"/>
      <c r="S345" s="57"/>
    </row>
    <row r="346" spans="1:19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57"/>
      <c r="P346" s="57"/>
      <c r="Q346" s="57"/>
      <c r="R346" s="57"/>
      <c r="S346" s="57"/>
    </row>
    <row r="347" spans="1:19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57"/>
      <c r="P347" s="57"/>
      <c r="Q347" s="57"/>
      <c r="R347" s="57"/>
      <c r="S347" s="57"/>
    </row>
    <row r="348" spans="1:19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57"/>
      <c r="P348" s="57"/>
      <c r="Q348" s="57"/>
      <c r="R348" s="57"/>
      <c r="S348" s="57"/>
    </row>
    <row r="349" spans="1:19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57"/>
      <c r="P349" s="57"/>
      <c r="Q349" s="57"/>
      <c r="R349" s="57"/>
      <c r="S349" s="57"/>
    </row>
    <row r="350" spans="1:19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57"/>
      <c r="P350" s="57"/>
      <c r="Q350" s="57"/>
      <c r="R350" s="57"/>
      <c r="S350" s="57"/>
    </row>
    <row r="351" spans="1:19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57"/>
      <c r="P351" s="57"/>
      <c r="Q351" s="57"/>
      <c r="R351" s="57"/>
      <c r="S351" s="57"/>
    </row>
    <row r="352" spans="1:19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57"/>
      <c r="P352" s="57"/>
      <c r="Q352" s="57"/>
      <c r="R352" s="57"/>
      <c r="S352" s="57"/>
    </row>
    <row r="353" spans="1:19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57"/>
      <c r="P353" s="57"/>
      <c r="Q353" s="57"/>
      <c r="R353" s="57"/>
      <c r="S353" s="57"/>
    </row>
    <row r="354" spans="1:19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57"/>
      <c r="P354" s="57"/>
      <c r="Q354" s="57"/>
      <c r="R354" s="57"/>
      <c r="S354" s="57"/>
    </row>
    <row r="355" spans="1:19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57"/>
      <c r="P355" s="57"/>
      <c r="Q355" s="57"/>
      <c r="R355" s="57"/>
      <c r="S355" s="57"/>
    </row>
    <row r="356" spans="1:19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57"/>
      <c r="P356" s="57"/>
      <c r="Q356" s="57"/>
      <c r="R356" s="57"/>
      <c r="S356" s="57"/>
    </row>
    <row r="357" spans="1:19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57"/>
      <c r="P357" s="57"/>
      <c r="Q357" s="57"/>
      <c r="R357" s="57"/>
      <c r="S357" s="57"/>
    </row>
    <row r="358" spans="1:19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57"/>
      <c r="P358" s="57"/>
      <c r="Q358" s="57"/>
      <c r="R358" s="57"/>
      <c r="S358" s="57"/>
    </row>
    <row r="359" spans="1:19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57"/>
      <c r="P359" s="57"/>
      <c r="Q359" s="57"/>
      <c r="R359" s="57"/>
      <c r="S359" s="57"/>
    </row>
    <row r="360" spans="1:19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57"/>
      <c r="P360" s="57"/>
      <c r="Q360" s="57"/>
      <c r="R360" s="57"/>
      <c r="S360" s="57"/>
    </row>
    <row r="361" spans="1:19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57"/>
      <c r="P361" s="57"/>
      <c r="Q361" s="57"/>
      <c r="R361" s="57"/>
      <c r="S361" s="57"/>
    </row>
    <row r="362" spans="1:19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57"/>
      <c r="P362" s="57"/>
      <c r="Q362" s="57"/>
      <c r="R362" s="57"/>
      <c r="S362" s="57"/>
    </row>
    <row r="363" spans="1:19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57"/>
      <c r="P363" s="57"/>
      <c r="Q363" s="57"/>
      <c r="R363" s="57"/>
      <c r="S363" s="57"/>
    </row>
    <row r="364" spans="1:19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57"/>
      <c r="P364" s="57"/>
      <c r="Q364" s="57"/>
      <c r="R364" s="57"/>
      <c r="S364" s="57"/>
    </row>
    <row r="365" spans="1:19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57"/>
      <c r="P365" s="57"/>
      <c r="Q365" s="57"/>
      <c r="R365" s="57"/>
      <c r="S365" s="57"/>
    </row>
    <row r="366" spans="1:19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57"/>
      <c r="P366" s="57"/>
      <c r="Q366" s="57"/>
      <c r="R366" s="57"/>
      <c r="S366" s="57"/>
    </row>
    <row r="367" spans="1:19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57"/>
      <c r="P367" s="57"/>
      <c r="Q367" s="57"/>
      <c r="R367" s="57"/>
      <c r="S367" s="57"/>
    </row>
    <row r="368" spans="1:19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57"/>
      <c r="P368" s="57"/>
      <c r="Q368" s="57"/>
      <c r="R368" s="57"/>
      <c r="S368" s="57"/>
    </row>
    <row r="369" spans="1:19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57"/>
      <c r="P369" s="57"/>
      <c r="Q369" s="57"/>
      <c r="R369" s="57"/>
      <c r="S369" s="57"/>
    </row>
    <row r="370" spans="1:19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57"/>
      <c r="P370" s="57"/>
      <c r="Q370" s="57"/>
      <c r="R370" s="57"/>
      <c r="S370" s="57"/>
    </row>
    <row r="371" spans="1:19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57"/>
      <c r="P371" s="57"/>
      <c r="Q371" s="57"/>
      <c r="R371" s="57"/>
      <c r="S371" s="57"/>
    </row>
    <row r="372" spans="1:19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57"/>
      <c r="P372" s="57"/>
      <c r="Q372" s="57"/>
      <c r="R372" s="57"/>
      <c r="S372" s="57"/>
    </row>
    <row r="373" spans="1:19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57"/>
      <c r="P373" s="57"/>
      <c r="Q373" s="57"/>
      <c r="R373" s="57"/>
      <c r="S373" s="57"/>
    </row>
    <row r="374" spans="1:19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57"/>
      <c r="P374" s="57"/>
      <c r="Q374" s="57"/>
      <c r="R374" s="57"/>
      <c r="S374" s="57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</sheetData>
  <autoFilter ref="D4:Q211">
    <filterColumn colId="1">
      <filters>
        <filter val="Operación Administrativ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J40" sqref="J40:J48"/>
    </sheetView>
  </sheetViews>
  <sheetFormatPr baseColWidth="10" defaultRowHeight="15" x14ac:dyDescent="0.25"/>
  <cols>
    <col min="2" max="2" width="16.85546875" style="85" bestFit="1" customWidth="1"/>
    <col min="3" max="3" width="13.140625" style="85" bestFit="1" customWidth="1"/>
    <col min="4" max="5" width="14.140625" style="85" bestFit="1" customWidth="1"/>
    <col min="6" max="8" width="11.42578125" style="85"/>
  </cols>
  <sheetData>
    <row r="1" spans="1:5" x14ac:dyDescent="0.25">
      <c r="B1" s="85" t="s">
        <v>75</v>
      </c>
      <c r="C1" s="85" t="s">
        <v>72</v>
      </c>
      <c r="D1" s="85" t="s">
        <v>73</v>
      </c>
      <c r="E1" s="85" t="s">
        <v>74</v>
      </c>
    </row>
    <row r="2" spans="1:5" x14ac:dyDescent="0.25">
      <c r="A2" t="s">
        <v>71</v>
      </c>
      <c r="B2" s="85">
        <v>9623225.3399999999</v>
      </c>
      <c r="C2" s="85">
        <v>723472.96</v>
      </c>
      <c r="D2" s="85">
        <v>919030.68</v>
      </c>
      <c r="E2" s="85">
        <v>730173.04</v>
      </c>
    </row>
    <row r="3" spans="1:5" x14ac:dyDescent="0.25">
      <c r="A3" t="s">
        <v>76</v>
      </c>
      <c r="B3" s="85">
        <v>505174.25</v>
      </c>
      <c r="C3" s="85">
        <v>41954.52</v>
      </c>
      <c r="D3" s="85">
        <v>41610.83</v>
      </c>
      <c r="E3" s="85">
        <v>48726.95</v>
      </c>
    </row>
    <row r="4" spans="1:5" x14ac:dyDescent="0.25">
      <c r="A4" t="s">
        <v>77</v>
      </c>
      <c r="B4" s="85">
        <v>1146440.55</v>
      </c>
      <c r="C4" s="85">
        <v>77878.850000000006</v>
      </c>
      <c r="D4" s="85">
        <v>65753.02</v>
      </c>
      <c r="E4" s="85">
        <v>74726.03</v>
      </c>
    </row>
    <row r="5" spans="1:5" x14ac:dyDescent="0.25">
      <c r="A5" t="s">
        <v>78</v>
      </c>
      <c r="B5" s="85">
        <v>1538229.71</v>
      </c>
      <c r="C5" s="85">
        <v>143401.4</v>
      </c>
      <c r="D5" s="85">
        <v>112368.89</v>
      </c>
      <c r="E5" s="85">
        <v>123713.54</v>
      </c>
    </row>
    <row r="6" spans="1:5" x14ac:dyDescent="0.25">
      <c r="A6" t="s">
        <v>79</v>
      </c>
      <c r="B6" s="85">
        <v>609178.06000000006</v>
      </c>
      <c r="C6" s="85">
        <v>45686.59</v>
      </c>
      <c r="D6" s="85">
        <v>41043.53</v>
      </c>
      <c r="E6" s="85">
        <v>41753.879999999997</v>
      </c>
    </row>
    <row r="7" spans="1:5" x14ac:dyDescent="0.25">
      <c r="A7" t="s">
        <v>80</v>
      </c>
      <c r="B7" s="85">
        <v>1047395.33</v>
      </c>
      <c r="C7" s="85">
        <v>75719.86</v>
      </c>
      <c r="D7" s="85">
        <v>86792.33</v>
      </c>
      <c r="E7" s="85">
        <v>94022.89</v>
      </c>
    </row>
    <row r="8" spans="1:5" x14ac:dyDescent="0.25">
      <c r="A8" t="s">
        <v>81</v>
      </c>
      <c r="B8" s="85">
        <v>3709924.45</v>
      </c>
      <c r="C8" s="85">
        <v>322279.64</v>
      </c>
      <c r="D8" s="85">
        <v>332847.25</v>
      </c>
      <c r="E8" s="85">
        <v>317188.31</v>
      </c>
    </row>
    <row r="9" spans="1:5" x14ac:dyDescent="0.25">
      <c r="A9" t="s">
        <v>82</v>
      </c>
      <c r="B9" s="85">
        <v>374101.59</v>
      </c>
      <c r="C9" s="85">
        <v>30340.48</v>
      </c>
      <c r="D9" s="85">
        <v>28519.200000000001</v>
      </c>
      <c r="E9" s="85">
        <v>33067.32</v>
      </c>
    </row>
    <row r="10" spans="1:5" x14ac:dyDescent="0.25">
      <c r="A10" t="s">
        <v>83</v>
      </c>
      <c r="B10" s="85">
        <v>594758.04</v>
      </c>
      <c r="C10" s="85">
        <v>50065.5</v>
      </c>
      <c r="D10" s="85">
        <v>51446.64</v>
      </c>
      <c r="E10" s="85">
        <v>51883.3</v>
      </c>
    </row>
    <row r="11" spans="1:5" x14ac:dyDescent="0.25">
      <c r="A11" t="s">
        <v>84</v>
      </c>
      <c r="B11" s="85">
        <v>270184.33</v>
      </c>
      <c r="C11" s="85">
        <v>10270.780000000001</v>
      </c>
      <c r="D11" s="85">
        <v>12367.19</v>
      </c>
      <c r="E11" s="85">
        <v>23742.84</v>
      </c>
    </row>
    <row r="12" spans="1:5" x14ac:dyDescent="0.25">
      <c r="A12" t="s">
        <v>85</v>
      </c>
      <c r="B12" s="85">
        <v>505550.08000000002</v>
      </c>
      <c r="C12" s="85">
        <v>41425.1</v>
      </c>
      <c r="D12" s="85">
        <v>34582.94</v>
      </c>
      <c r="E12" s="85">
        <v>49427.26</v>
      </c>
    </row>
    <row r="13" spans="1:5" x14ac:dyDescent="0.25">
      <c r="A13" t="s">
        <v>86</v>
      </c>
      <c r="B13" s="85">
        <v>412262.49</v>
      </c>
      <c r="C13" s="85">
        <v>32687.46</v>
      </c>
      <c r="D13" s="85">
        <v>30173.040000000001</v>
      </c>
      <c r="E13" s="85">
        <v>45180.35</v>
      </c>
    </row>
    <row r="14" spans="1:5" x14ac:dyDescent="0.25">
      <c r="A14" t="s">
        <v>87</v>
      </c>
      <c r="B14" s="85">
        <v>760064.2</v>
      </c>
      <c r="C14" s="85">
        <v>84842.58</v>
      </c>
      <c r="D14" s="85">
        <v>59341.38</v>
      </c>
      <c r="E14" s="85">
        <v>61075.7</v>
      </c>
    </row>
    <row r="15" spans="1:5" x14ac:dyDescent="0.25">
      <c r="A15" t="s">
        <v>88</v>
      </c>
      <c r="B15" s="85">
        <v>882340.7</v>
      </c>
      <c r="C15" s="85">
        <v>0</v>
      </c>
      <c r="D15" s="85">
        <v>0</v>
      </c>
      <c r="E15" s="85">
        <v>0</v>
      </c>
    </row>
    <row r="16" spans="1:5" x14ac:dyDescent="0.25">
      <c r="A16" t="s">
        <v>89</v>
      </c>
      <c r="B16" s="85">
        <v>1663845.43</v>
      </c>
      <c r="C16" s="85">
        <v>132229.54999999999</v>
      </c>
      <c r="D16" s="85">
        <v>150374.63</v>
      </c>
      <c r="E16" s="85">
        <v>125879.87</v>
      </c>
    </row>
    <row r="17" spans="1:5" x14ac:dyDescent="0.25">
      <c r="A17" t="s">
        <v>90</v>
      </c>
      <c r="B17" s="85">
        <v>732837.55</v>
      </c>
      <c r="C17" s="85">
        <v>59883.5</v>
      </c>
      <c r="D17" s="85">
        <v>51954.19</v>
      </c>
      <c r="E17" s="85">
        <v>57425.24</v>
      </c>
    </row>
    <row r="18" spans="1:5" x14ac:dyDescent="0.25">
      <c r="A18" t="s">
        <v>91</v>
      </c>
      <c r="B18" s="85">
        <v>885815.68</v>
      </c>
      <c r="C18" s="85">
        <v>66839.31</v>
      </c>
      <c r="D18" s="85">
        <v>76582.19</v>
      </c>
      <c r="E18" s="85">
        <v>72129.81</v>
      </c>
    </row>
    <row r="19" spans="1:5" x14ac:dyDescent="0.25">
      <c r="A19" t="s">
        <v>92</v>
      </c>
      <c r="B19" s="85">
        <v>472503.98</v>
      </c>
      <c r="C19" s="85">
        <v>25215.47</v>
      </c>
      <c r="D19" s="85">
        <v>16298.93</v>
      </c>
      <c r="E19" s="85">
        <v>23275.82</v>
      </c>
    </row>
    <row r="20" spans="1:5" x14ac:dyDescent="0.25">
      <c r="A20" t="s">
        <v>85</v>
      </c>
      <c r="B20">
        <v>439135.48</v>
      </c>
      <c r="C20" s="85">
        <v>6615.38</v>
      </c>
      <c r="D20" s="85">
        <v>10626.22</v>
      </c>
      <c r="E20" s="85">
        <v>6144.14</v>
      </c>
    </row>
    <row r="21" spans="1:5" x14ac:dyDescent="0.25">
      <c r="A21" t="s">
        <v>93</v>
      </c>
      <c r="B21" s="85">
        <v>6059780.6500000004</v>
      </c>
      <c r="C21" s="85">
        <v>394418.96</v>
      </c>
      <c r="D21" s="85">
        <v>378608.57</v>
      </c>
      <c r="E21" s="85">
        <v>423511.94</v>
      </c>
    </row>
    <row r="22" spans="1:5" x14ac:dyDescent="0.25">
      <c r="A22" t="s">
        <v>94</v>
      </c>
      <c r="B22" s="85">
        <v>1031619.47</v>
      </c>
      <c r="C22" s="85">
        <v>85668.97</v>
      </c>
      <c r="D22" s="85">
        <v>84139.77</v>
      </c>
      <c r="E22" s="85">
        <v>109676.45</v>
      </c>
    </row>
    <row r="23" spans="1:5" x14ac:dyDescent="0.25">
      <c r="A23" t="s">
        <v>95</v>
      </c>
      <c r="B23" s="85">
        <v>1549612.87</v>
      </c>
      <c r="C23" s="85">
        <v>112858.79</v>
      </c>
      <c r="D23" s="85">
        <v>110462.53</v>
      </c>
      <c r="E23" s="85">
        <v>125879.63</v>
      </c>
    </row>
    <row r="24" spans="1:5" x14ac:dyDescent="0.25">
      <c r="A24" t="s">
        <v>96</v>
      </c>
      <c r="B24" s="85">
        <v>779270.95</v>
      </c>
      <c r="C24" s="85">
        <v>38326.47</v>
      </c>
      <c r="D24" s="85">
        <v>42050.31</v>
      </c>
      <c r="E24" s="85">
        <v>62656.97</v>
      </c>
    </row>
    <row r="25" spans="1:5" x14ac:dyDescent="0.25">
      <c r="A25" t="s">
        <v>97</v>
      </c>
      <c r="B25" s="85">
        <v>395435.77</v>
      </c>
      <c r="C25" s="85">
        <v>29622.080000000002</v>
      </c>
      <c r="D25" s="85">
        <v>28365.3</v>
      </c>
      <c r="E25" s="85">
        <v>28365.3</v>
      </c>
    </row>
    <row r="26" spans="1:5" x14ac:dyDescent="0.25">
      <c r="A26" t="s">
        <v>98</v>
      </c>
      <c r="B26" s="85">
        <v>383000</v>
      </c>
      <c r="C26" s="85">
        <v>50435.72</v>
      </c>
      <c r="D26" s="85">
        <v>13631.44</v>
      </c>
      <c r="E26" s="85">
        <v>15347.39</v>
      </c>
    </row>
    <row r="27" spans="1:5" x14ac:dyDescent="0.25">
      <c r="A27" t="s">
        <v>85</v>
      </c>
      <c r="B27" s="85">
        <v>1211211.74</v>
      </c>
      <c r="C27" s="85">
        <v>62125.03</v>
      </c>
      <c r="D27" s="85">
        <v>63590.29</v>
      </c>
      <c r="E27" s="85">
        <v>57551.72</v>
      </c>
    </row>
    <row r="28" spans="1:5" x14ac:dyDescent="0.25">
      <c r="A28" t="s">
        <v>99</v>
      </c>
      <c r="B28" s="85">
        <v>284713.92</v>
      </c>
      <c r="C28" s="85">
        <v>26415.439999999999</v>
      </c>
      <c r="D28" s="85">
        <v>24383.47</v>
      </c>
      <c r="E28" s="85">
        <v>24383.48</v>
      </c>
    </row>
    <row r="29" spans="1:5" x14ac:dyDescent="0.25">
      <c r="A29" t="s">
        <v>100</v>
      </c>
      <c r="B29" s="85">
        <v>593433.32999999996</v>
      </c>
      <c r="C29" s="85">
        <v>45482.95</v>
      </c>
      <c r="D29" s="85">
        <v>42880.32</v>
      </c>
      <c r="E29" s="85">
        <v>50880.32</v>
      </c>
    </row>
    <row r="30" spans="1:5" x14ac:dyDescent="0.25">
      <c r="A30" t="s">
        <v>101</v>
      </c>
      <c r="B30" s="85">
        <v>1492598.83</v>
      </c>
      <c r="C30" s="85">
        <v>103170.14</v>
      </c>
      <c r="D30" s="85">
        <v>98661.119999999995</v>
      </c>
      <c r="E30" s="85">
        <v>99628.26</v>
      </c>
    </row>
    <row r="31" spans="1:5" x14ac:dyDescent="0.25">
      <c r="A31" t="s">
        <v>102</v>
      </c>
      <c r="B31" s="85">
        <v>15438626.25</v>
      </c>
      <c r="C31" s="85">
        <v>1515595.42</v>
      </c>
      <c r="D31" s="85">
        <v>2122655.21</v>
      </c>
      <c r="E31" s="85">
        <v>1762325.63</v>
      </c>
    </row>
    <row r="32" spans="1:5" x14ac:dyDescent="0.25">
      <c r="A32" t="s">
        <v>103</v>
      </c>
      <c r="B32" s="85">
        <v>1675813.67</v>
      </c>
      <c r="C32" s="85">
        <v>204959.82</v>
      </c>
      <c r="D32" s="85">
        <v>119264.6</v>
      </c>
      <c r="E32" s="85">
        <v>147804.57999999999</v>
      </c>
    </row>
    <row r="33" spans="1:5" x14ac:dyDescent="0.25">
      <c r="A33" t="s">
        <v>104</v>
      </c>
      <c r="B33" s="85">
        <v>3321650.08</v>
      </c>
      <c r="C33" s="85">
        <v>194553.05</v>
      </c>
      <c r="D33" s="85">
        <v>213127.71</v>
      </c>
      <c r="E33" s="85">
        <v>216733.85</v>
      </c>
    </row>
    <row r="34" spans="1:5" x14ac:dyDescent="0.25">
      <c r="A34" t="s">
        <v>105</v>
      </c>
      <c r="B34" s="85">
        <v>585400</v>
      </c>
      <c r="C34" s="85">
        <v>45135.360000000001</v>
      </c>
      <c r="D34" s="85">
        <v>41686.410000000003</v>
      </c>
      <c r="E34" s="85">
        <v>41832.050000000003</v>
      </c>
    </row>
    <row r="35" spans="1:5" x14ac:dyDescent="0.25">
      <c r="A35" t="s">
        <v>106</v>
      </c>
      <c r="B35" s="85">
        <v>1470692.67</v>
      </c>
      <c r="C35" s="85">
        <v>116049.92</v>
      </c>
      <c r="D35" s="85">
        <v>115642.51</v>
      </c>
      <c r="E35" s="85">
        <v>117380.64</v>
      </c>
    </row>
    <row r="36" spans="1:5" x14ac:dyDescent="0.25">
      <c r="A36" t="s">
        <v>107</v>
      </c>
      <c r="B36" s="85">
        <v>316905.21000000002</v>
      </c>
      <c r="C36" s="85">
        <v>24340.82</v>
      </c>
      <c r="D36" s="85">
        <v>24275.65</v>
      </c>
      <c r="E36" s="85">
        <v>22953.61</v>
      </c>
    </row>
    <row r="37" spans="1:5" x14ac:dyDescent="0.25">
      <c r="A37" t="s">
        <v>108</v>
      </c>
      <c r="B37" s="85">
        <v>348548.79</v>
      </c>
      <c r="C37" s="85">
        <v>27645.67</v>
      </c>
      <c r="D37" s="85">
        <v>28311.85</v>
      </c>
      <c r="E37" s="85">
        <v>19638.310000000001</v>
      </c>
    </row>
    <row r="38" spans="1:5" x14ac:dyDescent="0.25">
      <c r="A38" t="s">
        <v>109</v>
      </c>
      <c r="B38" s="85">
        <v>14800</v>
      </c>
      <c r="C38" s="85">
        <v>0</v>
      </c>
      <c r="D38" s="85">
        <v>0</v>
      </c>
      <c r="E38" s="85">
        <v>2025.36</v>
      </c>
    </row>
    <row r="39" spans="1:5" x14ac:dyDescent="0.25">
      <c r="A39" t="s">
        <v>110</v>
      </c>
      <c r="B39" s="85">
        <v>742476.98</v>
      </c>
      <c r="C39" s="85">
        <v>87614.71</v>
      </c>
      <c r="D39" s="85">
        <v>57242.28</v>
      </c>
      <c r="E39" s="85">
        <v>56846.85</v>
      </c>
    </row>
    <row r="40" spans="1:5" x14ac:dyDescent="0.25">
      <c r="A40" t="s">
        <v>111</v>
      </c>
      <c r="B40" s="85">
        <v>159730.73000000001</v>
      </c>
      <c r="C40" s="85">
        <v>12408.7</v>
      </c>
      <c r="D40" s="85">
        <v>11454.18</v>
      </c>
      <c r="E40" s="85">
        <v>11454.18</v>
      </c>
    </row>
    <row r="41" spans="1:5" x14ac:dyDescent="0.25">
      <c r="A41" t="s">
        <v>112</v>
      </c>
      <c r="B41" s="85">
        <v>777484.5</v>
      </c>
      <c r="C41" s="85">
        <v>73136.41</v>
      </c>
      <c r="D41" s="85">
        <v>62007.94</v>
      </c>
      <c r="E41" s="85">
        <v>65442.6</v>
      </c>
    </row>
    <row r="42" spans="1:5" x14ac:dyDescent="0.25">
      <c r="A42" t="s">
        <v>113</v>
      </c>
      <c r="B42" s="85">
        <v>1171578.3</v>
      </c>
      <c r="C42" s="85">
        <v>215373.24</v>
      </c>
      <c r="D42" s="85">
        <v>212685.53</v>
      </c>
      <c r="E42" s="85">
        <v>271705.31</v>
      </c>
    </row>
    <row r="43" spans="1:5" x14ac:dyDescent="0.25">
      <c r="A43" t="s">
        <v>114</v>
      </c>
      <c r="B43" s="85">
        <v>825621.93</v>
      </c>
      <c r="C43" s="85">
        <v>56363.81</v>
      </c>
      <c r="D43" s="85">
        <v>70792.63</v>
      </c>
      <c r="E43" s="85">
        <v>57636.34</v>
      </c>
    </row>
    <row r="44" spans="1:5" x14ac:dyDescent="0.25">
      <c r="A44" t="s">
        <v>115</v>
      </c>
      <c r="B44" s="85">
        <v>788282.32</v>
      </c>
      <c r="C44" s="85">
        <v>65288.18</v>
      </c>
      <c r="D44" s="85">
        <v>62087.839999999997</v>
      </c>
      <c r="E44" s="85">
        <v>87098.2</v>
      </c>
    </row>
    <row r="45" spans="1:5" x14ac:dyDescent="0.25">
      <c r="A45" t="s">
        <v>116</v>
      </c>
      <c r="B45" s="85">
        <v>460463.69</v>
      </c>
      <c r="C45" s="85">
        <v>29251.42</v>
      </c>
      <c r="D45" s="85">
        <v>32297.68</v>
      </c>
      <c r="E45" s="85">
        <v>63866.13</v>
      </c>
    </row>
    <row r="46" spans="1:5" x14ac:dyDescent="0.25">
      <c r="A46" t="s">
        <v>83</v>
      </c>
      <c r="B46" s="85">
        <v>988357.69</v>
      </c>
      <c r="C46" s="85">
        <v>57321.8</v>
      </c>
      <c r="D46" s="85">
        <v>64292.68</v>
      </c>
      <c r="E46" s="85">
        <v>89081.17</v>
      </c>
    </row>
    <row r="47" spans="1:5" x14ac:dyDescent="0.25">
      <c r="A47" t="s">
        <v>117</v>
      </c>
      <c r="B47" s="85">
        <v>3477699.31</v>
      </c>
      <c r="C47" s="85">
        <v>268140.45</v>
      </c>
      <c r="D47" s="85">
        <v>272203.37</v>
      </c>
      <c r="E47" s="85">
        <v>187835.62</v>
      </c>
    </row>
    <row r="48" spans="1:5" x14ac:dyDescent="0.25">
      <c r="A48" t="s">
        <v>118</v>
      </c>
      <c r="B48" s="85">
        <v>996924.84</v>
      </c>
      <c r="C48" s="85">
        <v>91554.85</v>
      </c>
      <c r="D48" s="85">
        <v>88427.73</v>
      </c>
      <c r="E48" s="85">
        <v>88633.48</v>
      </c>
    </row>
    <row r="49" spans="1:5" x14ac:dyDescent="0.25">
      <c r="A49" t="s">
        <v>119</v>
      </c>
      <c r="B49" s="85">
        <v>11541082.85</v>
      </c>
      <c r="C49" s="85">
        <v>841588.55</v>
      </c>
      <c r="D49" s="85">
        <v>1319520.69</v>
      </c>
      <c r="E49" s="85">
        <v>525299.94999999995</v>
      </c>
    </row>
    <row r="50" spans="1:5" x14ac:dyDescent="0.25">
      <c r="A50" t="s">
        <v>120</v>
      </c>
      <c r="B50" s="85">
        <v>4808458.2300000004</v>
      </c>
      <c r="C50" s="85">
        <v>288893.13</v>
      </c>
      <c r="D50" s="85">
        <v>288497.59999999998</v>
      </c>
      <c r="E50" s="85">
        <v>318012.65999999997</v>
      </c>
    </row>
    <row r="51" spans="1:5" x14ac:dyDescent="0.25">
      <c r="A51" t="s">
        <v>121</v>
      </c>
      <c r="B51" s="85">
        <v>622843.47</v>
      </c>
      <c r="C51" s="85">
        <v>49564.05</v>
      </c>
      <c r="D51" s="85">
        <v>51232.06</v>
      </c>
      <c r="E51" s="85">
        <v>33618.550000000003</v>
      </c>
    </row>
    <row r="52" spans="1:5" x14ac:dyDescent="0.25">
      <c r="A52" t="s">
        <v>122</v>
      </c>
      <c r="B52" s="85">
        <v>8616816.2599999998</v>
      </c>
      <c r="C52" s="85">
        <v>136569.17000000001</v>
      </c>
      <c r="D52" s="85">
        <v>1241625.8799999999</v>
      </c>
      <c r="E52" s="85">
        <v>806560.82</v>
      </c>
    </row>
    <row r="53" spans="1:5" x14ac:dyDescent="0.25">
      <c r="A53" t="s">
        <v>123</v>
      </c>
      <c r="B53" s="85">
        <v>4522304.34</v>
      </c>
      <c r="C53" s="85">
        <v>329176.02</v>
      </c>
      <c r="D53" s="85">
        <v>329176.02</v>
      </c>
      <c r="E53" s="85">
        <v>329176.02</v>
      </c>
    </row>
    <row r="54" spans="1:5" x14ac:dyDescent="0.25">
      <c r="B54" s="85">
        <f>SUM(B2:B53)</f>
        <v>103626206.88</v>
      </c>
      <c r="C54" s="85">
        <f>SUM(C2:C53)</f>
        <v>7649858.0299999993</v>
      </c>
      <c r="D54" s="85">
        <f>SUM(D2:D53)</f>
        <v>9836994.2499999981</v>
      </c>
      <c r="E54" s="85">
        <f>SUM(E2:E53)</f>
        <v>8300379.6600000001</v>
      </c>
    </row>
    <row r="55" spans="1:5" x14ac:dyDescent="0.25">
      <c r="B55" s="85">
        <f>+B54/12</f>
        <v>8635517.2400000002</v>
      </c>
      <c r="C55" s="86">
        <f>1920455.17+5800</f>
        <v>1926255.17</v>
      </c>
      <c r="D55" s="86">
        <f>1550792.88+149508.95</f>
        <v>1700301.8299999998</v>
      </c>
      <c r="E55" s="86">
        <v>1818563.68</v>
      </c>
    </row>
    <row r="56" spans="1:5" x14ac:dyDescent="0.25">
      <c r="C56" s="87">
        <f>+C54+C55</f>
        <v>9576113.1999999993</v>
      </c>
      <c r="D56" s="87">
        <f>+D54+D55</f>
        <v>11537296.079999998</v>
      </c>
      <c r="E56" s="87">
        <f>+E54+E55</f>
        <v>10118943.34</v>
      </c>
    </row>
    <row r="57" spans="1:5" x14ac:dyDescent="0.25">
      <c r="C57" s="87">
        <v>9576113.1999999993</v>
      </c>
      <c r="D57" s="87">
        <v>11537296.08</v>
      </c>
      <c r="E57" s="87">
        <v>10118943.34</v>
      </c>
    </row>
    <row r="58" spans="1:5" x14ac:dyDescent="0.25">
      <c r="C58" s="85">
        <f>+C56-C57</f>
        <v>0</v>
      </c>
      <c r="D58" s="85">
        <f>+D56-D57</f>
        <v>0</v>
      </c>
      <c r="E58" s="85">
        <f>+E56-E57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Egresos</cp:lastModifiedBy>
  <cp:revision/>
  <cp:lastPrinted>2019-10-09T15:05:40Z</cp:lastPrinted>
  <dcterms:created xsi:type="dcterms:W3CDTF">2014-04-14T16:04:24Z</dcterms:created>
  <dcterms:modified xsi:type="dcterms:W3CDTF">2019-10-09T15:05:42Z</dcterms:modified>
</cp:coreProperties>
</file>