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0\CUENTA PUBLICA\9.- SEPTIEMBRE\"/>
    </mc:Choice>
  </mc:AlternateContent>
  <xr:revisionPtr revIDLastSave="0" documentId="13_ncr:1_{87ECF04A-FD65-4724-A93C-B5A57DA7DAF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Hoja1!$B$153:$O$312</definedName>
  </definedNames>
  <calcPr calcId="181029"/>
</workbook>
</file>

<file path=xl/calcChain.xml><?xml version="1.0" encoding="utf-8"?>
<calcChain xmlns="http://schemas.openxmlformats.org/spreadsheetml/2006/main">
  <c r="J308" i="1" l="1"/>
  <c r="J307" i="1"/>
  <c r="J240" i="1"/>
  <c r="J239" i="1"/>
  <c r="J238" i="1"/>
  <c r="M238" i="1" s="1"/>
  <c r="J237" i="1"/>
  <c r="M237" i="1" s="1"/>
  <c r="J236" i="1"/>
  <c r="M240" i="1" l="1"/>
  <c r="O240" i="1" s="1"/>
  <c r="M239" i="1"/>
  <c r="O239" i="1" s="1"/>
  <c r="O238" i="1"/>
  <c r="O237" i="1"/>
  <c r="M236" i="1"/>
  <c r="O236" i="1" s="1"/>
  <c r="E240" i="1"/>
  <c r="E239" i="1"/>
  <c r="G239" i="1" s="1"/>
  <c r="E238" i="1"/>
  <c r="E237" i="1"/>
  <c r="G237" i="1" s="1"/>
  <c r="I237" i="1" s="1"/>
  <c r="E236" i="1"/>
  <c r="G236" i="1" s="1"/>
  <c r="I236" i="1" s="1"/>
  <c r="G240" i="1" l="1"/>
  <c r="I240" i="1" s="1"/>
  <c r="I239" i="1"/>
  <c r="K239" i="1" s="1"/>
  <c r="G238" i="1"/>
  <c r="I238" i="1" s="1"/>
  <c r="K237" i="1"/>
  <c r="K236" i="1"/>
  <c r="K238" i="1" l="1"/>
  <c r="K240" i="1"/>
  <c r="M308" i="1"/>
  <c r="M307" i="1"/>
  <c r="E308" i="1" l="1"/>
  <c r="E307" i="1"/>
  <c r="G307" i="1" s="1"/>
  <c r="I307" i="1" s="1"/>
  <c r="K307" i="1" s="1"/>
  <c r="L307" i="1" s="1"/>
  <c r="E234" i="1"/>
  <c r="G234" i="1" s="1"/>
  <c r="E235" i="1"/>
  <c r="G235" i="1" s="1"/>
  <c r="I235" i="1" s="1"/>
  <c r="E230" i="1"/>
  <c r="G230" i="1" s="1"/>
  <c r="E231" i="1"/>
  <c r="E232" i="1"/>
  <c r="G232" i="1" s="1"/>
  <c r="E233" i="1"/>
  <c r="E224" i="1"/>
  <c r="G224" i="1" s="1"/>
  <c r="I224" i="1" s="1"/>
  <c r="E225" i="1"/>
  <c r="G225" i="1" s="1"/>
  <c r="I225" i="1" s="1"/>
  <c r="E226" i="1"/>
  <c r="G226" i="1" s="1"/>
  <c r="E227" i="1"/>
  <c r="E228" i="1"/>
  <c r="G228" i="1" s="1"/>
  <c r="I228" i="1" s="1"/>
  <c r="E229" i="1"/>
  <c r="E223" i="1"/>
  <c r="G223" i="1" s="1"/>
  <c r="I223" i="1" s="1"/>
  <c r="E222" i="1"/>
  <c r="G222" i="1" s="1"/>
  <c r="E221" i="1"/>
  <c r="G221" i="1" s="1"/>
  <c r="I221" i="1" s="1"/>
  <c r="E220" i="1"/>
  <c r="E219" i="1"/>
  <c r="G219" i="1" s="1"/>
  <c r="I219" i="1" s="1"/>
  <c r="K219" i="1" s="1"/>
  <c r="E218" i="1"/>
  <c r="E217" i="1"/>
  <c r="G217" i="1" s="1"/>
  <c r="I217" i="1" s="1"/>
  <c r="K217" i="1" s="1"/>
  <c r="E216" i="1"/>
  <c r="G216" i="1" s="1"/>
  <c r="E215" i="1"/>
  <c r="G215" i="1" s="1"/>
  <c r="E214" i="1"/>
  <c r="E213" i="1"/>
  <c r="G213" i="1" s="1"/>
  <c r="I213" i="1" s="1"/>
  <c r="E212" i="1"/>
  <c r="J235" i="1"/>
  <c r="M235" i="1" s="1"/>
  <c r="J234" i="1"/>
  <c r="J233" i="1"/>
  <c r="J232" i="1"/>
  <c r="M232" i="1" s="1"/>
  <c r="O232" i="1" s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M216" i="1" s="1"/>
  <c r="O216" i="1" s="1"/>
  <c r="J215" i="1"/>
  <c r="J214" i="1"/>
  <c r="J213" i="1"/>
  <c r="J212" i="1"/>
  <c r="O308" i="1"/>
  <c r="O307" i="1"/>
  <c r="I215" i="1" l="1"/>
  <c r="K215" i="1" s="1"/>
  <c r="L215" i="1" s="1"/>
  <c r="K223" i="1"/>
  <c r="L223" i="1" s="1"/>
  <c r="G229" i="1"/>
  <c r="I229" i="1" s="1"/>
  <c r="K213" i="1"/>
  <c r="L213" i="1" s="1"/>
  <c r="I226" i="1"/>
  <c r="K226" i="1" s="1"/>
  <c r="L226" i="1" s="1"/>
  <c r="I222" i="1"/>
  <c r="K222" i="1" s="1"/>
  <c r="L222" i="1" s="1"/>
  <c r="I234" i="1"/>
  <c r="K234" i="1" s="1"/>
  <c r="L234" i="1" s="1"/>
  <c r="K221" i="1"/>
  <c r="L221" i="1" s="1"/>
  <c r="I232" i="1"/>
  <c r="K232" i="1" s="1"/>
  <c r="L232" i="1" s="1"/>
  <c r="I216" i="1"/>
  <c r="K216" i="1" s="1"/>
  <c r="L216" i="1" s="1"/>
  <c r="I230" i="1"/>
  <c r="K230" i="1" s="1"/>
  <c r="L230" i="1" s="1"/>
  <c r="K235" i="1"/>
  <c r="L235" i="1" s="1"/>
  <c r="G231" i="1"/>
  <c r="I231" i="1" s="1"/>
  <c r="G233" i="1"/>
  <c r="I233" i="1" s="1"/>
  <c r="K225" i="1"/>
  <c r="L225" i="1" s="1"/>
  <c r="G214" i="1"/>
  <c r="I214" i="1" s="1"/>
  <c r="K224" i="1"/>
  <c r="L224" i="1" s="1"/>
  <c r="G212" i="1"/>
  <c r="I212" i="1" s="1"/>
  <c r="G220" i="1"/>
  <c r="I220" i="1" s="1"/>
  <c r="G227" i="1"/>
  <c r="I227" i="1" s="1"/>
  <c r="K228" i="1"/>
  <c r="L228" i="1" s="1"/>
  <c r="G218" i="1"/>
  <c r="I218" i="1" s="1"/>
  <c r="M220" i="1"/>
  <c r="O220" i="1" s="1"/>
  <c r="M229" i="1"/>
  <c r="O229" i="1" s="1"/>
  <c r="M214" i="1"/>
  <c r="O214" i="1" s="1"/>
  <c r="M221" i="1"/>
  <c r="O221" i="1" s="1"/>
  <c r="M222" i="1"/>
  <c r="O222" i="1" s="1"/>
  <c r="M231" i="1"/>
  <c r="O231" i="1" s="1"/>
  <c r="M228" i="1"/>
  <c r="O228" i="1" s="1"/>
  <c r="L217" i="1"/>
  <c r="M217" i="1"/>
  <c r="O217" i="1" s="1"/>
  <c r="M225" i="1"/>
  <c r="O225" i="1" s="1"/>
  <c r="M233" i="1"/>
  <c r="O233" i="1" s="1"/>
  <c r="M212" i="1"/>
  <c r="O212" i="1" s="1"/>
  <c r="M218" i="1"/>
  <c r="O218" i="1" s="1"/>
  <c r="M234" i="1"/>
  <c r="O234" i="1" s="1"/>
  <c r="M213" i="1"/>
  <c r="O213" i="1" s="1"/>
  <c r="M230" i="1"/>
  <c r="O230" i="1" s="1"/>
  <c r="M215" i="1"/>
  <c r="O215" i="1" s="1"/>
  <c r="M223" i="1"/>
  <c r="O223" i="1" s="1"/>
  <c r="M224" i="1"/>
  <c r="O224" i="1" s="1"/>
  <c r="M226" i="1"/>
  <c r="O226" i="1" s="1"/>
  <c r="L219" i="1"/>
  <c r="M219" i="1"/>
  <c r="O219" i="1" s="1"/>
  <c r="M227" i="1"/>
  <c r="O227" i="1" s="1"/>
  <c r="O235" i="1"/>
  <c r="G308" i="1"/>
  <c r="I308" i="1" s="1"/>
  <c r="K308" i="1" l="1"/>
  <c r="L308" i="1" s="1"/>
  <c r="K218" i="1"/>
  <c r="L218" i="1" s="1"/>
  <c r="K220" i="1"/>
  <c r="L220" i="1" s="1"/>
  <c r="K229" i="1"/>
  <c r="L229" i="1" s="1"/>
  <c r="K212" i="1"/>
  <c r="L212" i="1" s="1"/>
  <c r="K231" i="1"/>
  <c r="L231" i="1" s="1"/>
  <c r="K233" i="1"/>
  <c r="L233" i="1" s="1"/>
  <c r="K227" i="1"/>
  <c r="L227" i="1" s="1"/>
  <c r="K214" i="1"/>
  <c r="L214" i="1" s="1"/>
  <c r="J306" i="1"/>
  <c r="M306" i="1" s="1"/>
  <c r="J309" i="1"/>
  <c r="M309" i="1" s="1"/>
  <c r="J310" i="1"/>
  <c r="M310" i="1" s="1"/>
  <c r="J299" i="1"/>
  <c r="M299" i="1" s="1"/>
  <c r="J300" i="1"/>
  <c r="M300" i="1" s="1"/>
  <c r="J301" i="1"/>
  <c r="M301" i="1" s="1"/>
  <c r="J302" i="1"/>
  <c r="M302" i="1" s="1"/>
  <c r="J303" i="1"/>
  <c r="M303" i="1" s="1"/>
  <c r="J304" i="1"/>
  <c r="J305" i="1"/>
  <c r="M305" i="1" s="1"/>
  <c r="J205" i="1"/>
  <c r="M205" i="1" s="1"/>
  <c r="J206" i="1"/>
  <c r="M206" i="1" s="1"/>
  <c r="J207" i="1"/>
  <c r="M207" i="1" s="1"/>
  <c r="J208" i="1"/>
  <c r="M208" i="1" s="1"/>
  <c r="J209" i="1"/>
  <c r="M209" i="1" s="1"/>
  <c r="J210" i="1"/>
  <c r="M210" i="1" s="1"/>
  <c r="J211" i="1"/>
  <c r="M211" i="1" s="1"/>
  <c r="J241" i="1"/>
  <c r="M241" i="1" s="1"/>
  <c r="J242" i="1"/>
  <c r="M242" i="1" s="1"/>
  <c r="J243" i="1"/>
  <c r="M243" i="1" s="1"/>
  <c r="E299" i="1"/>
  <c r="G299" i="1" s="1"/>
  <c r="E300" i="1"/>
  <c r="G300" i="1" s="1"/>
  <c r="I300" i="1" s="1"/>
  <c r="E301" i="1"/>
  <c r="G301" i="1" s="1"/>
  <c r="I301" i="1" s="1"/>
  <c r="E302" i="1"/>
  <c r="G302" i="1" s="1"/>
  <c r="E303" i="1"/>
  <c r="G303" i="1" s="1"/>
  <c r="I303" i="1" s="1"/>
  <c r="E304" i="1"/>
  <c r="G304" i="1" s="1"/>
  <c r="I304" i="1" s="1"/>
  <c r="E305" i="1"/>
  <c r="G305" i="1" s="1"/>
  <c r="E306" i="1"/>
  <c r="G306" i="1" s="1"/>
  <c r="I306" i="1" s="1"/>
  <c r="E208" i="1"/>
  <c r="G208" i="1" s="1"/>
  <c r="I208" i="1" s="1"/>
  <c r="E209" i="1"/>
  <c r="G209" i="1" s="1"/>
  <c r="I209" i="1" s="1"/>
  <c r="E210" i="1"/>
  <c r="G210" i="1" s="1"/>
  <c r="I210" i="1" s="1"/>
  <c r="E211" i="1"/>
  <c r="G211" i="1" s="1"/>
  <c r="I211" i="1" s="1"/>
  <c r="N314" i="1"/>
  <c r="E207" i="1"/>
  <c r="G207" i="1" s="1"/>
  <c r="I207" i="1" s="1"/>
  <c r="E206" i="1"/>
  <c r="G206" i="1" s="1"/>
  <c r="I206" i="1" s="1"/>
  <c r="E205" i="1"/>
  <c r="G205" i="1" s="1"/>
  <c r="I205" i="1" s="1"/>
  <c r="O303" i="1" l="1"/>
  <c r="M304" i="1"/>
  <c r="O304" i="1" s="1"/>
  <c r="O306" i="1"/>
  <c r="O302" i="1"/>
  <c r="O208" i="1"/>
  <c r="O301" i="1"/>
  <c r="O207" i="1"/>
  <c r="O241" i="1"/>
  <c r="O305" i="1"/>
  <c r="O211" i="1"/>
  <c r="O210" i="1"/>
  <c r="O209" i="1"/>
  <c r="I302" i="1"/>
  <c r="K302" i="1" s="1"/>
  <c r="L302" i="1" s="1"/>
  <c r="I299" i="1"/>
  <c r="K299" i="1" s="1"/>
  <c r="L299" i="1" s="1"/>
  <c r="K209" i="1"/>
  <c r="L209" i="1" s="1"/>
  <c r="K301" i="1"/>
  <c r="L301" i="1" s="1"/>
  <c r="I305" i="1"/>
  <c r="K305" i="1" s="1"/>
  <c r="L305" i="1" s="1"/>
  <c r="K211" i="1"/>
  <c r="L211" i="1" s="1"/>
  <c r="K300" i="1"/>
  <c r="L300" i="1" s="1"/>
  <c r="O300" i="1"/>
  <c r="K210" i="1"/>
  <c r="L210" i="1" s="1"/>
  <c r="O206" i="1"/>
  <c r="K304" i="1"/>
  <c r="L304" i="1" s="1"/>
  <c r="K208" i="1"/>
  <c r="L208" i="1" s="1"/>
  <c r="O299" i="1"/>
  <c r="K306" i="1"/>
  <c r="L306" i="1" s="1"/>
  <c r="O205" i="1"/>
  <c r="K303" i="1"/>
  <c r="L303" i="1" s="1"/>
  <c r="K207" i="1"/>
  <c r="L207" i="1" s="1"/>
  <c r="K205" i="1"/>
  <c r="L205" i="1" s="1"/>
  <c r="K206" i="1"/>
  <c r="L206" i="1" s="1"/>
  <c r="J100" i="1"/>
  <c r="E100" i="1"/>
  <c r="G100" i="1" s="1"/>
  <c r="I100" i="1" s="1"/>
  <c r="J97" i="1"/>
  <c r="E97" i="1"/>
  <c r="G97" i="1" s="1"/>
  <c r="I97" i="1" s="1"/>
  <c r="J91" i="1"/>
  <c r="E91" i="1"/>
  <c r="M100" i="1" l="1"/>
  <c r="O100" i="1" s="1"/>
  <c r="M97" i="1"/>
  <c r="O97" i="1" s="1"/>
  <c r="M91" i="1"/>
  <c r="O91" i="1" s="1"/>
  <c r="K100" i="1"/>
  <c r="L100" i="1" s="1"/>
  <c r="K97" i="1"/>
  <c r="L97" i="1" s="1"/>
  <c r="G91" i="1"/>
  <c r="I91" i="1" s="1"/>
  <c r="K91" i="1" l="1"/>
  <c r="L91" i="1" s="1"/>
  <c r="J298" i="1"/>
  <c r="M298" i="1" s="1"/>
  <c r="J297" i="1"/>
  <c r="M297" i="1" s="1"/>
  <c r="J296" i="1"/>
  <c r="M296" i="1" s="1"/>
  <c r="J204" i="1"/>
  <c r="M204" i="1" s="1"/>
  <c r="O204" i="1" l="1"/>
  <c r="O296" i="1"/>
  <c r="O297" i="1"/>
  <c r="O298" i="1"/>
  <c r="J96" i="1"/>
  <c r="M96" i="1" s="1"/>
  <c r="J95" i="1"/>
  <c r="M95" i="1" s="1"/>
  <c r="E298" i="1" l="1"/>
  <c r="E297" i="1"/>
  <c r="E296" i="1"/>
  <c r="E309" i="1"/>
  <c r="E204" i="1"/>
  <c r="G204" i="1" l="1"/>
  <c r="I204" i="1" s="1"/>
  <c r="G297" i="1"/>
  <c r="I297" i="1" s="1"/>
  <c r="G296" i="1"/>
  <c r="I296" i="1" s="1"/>
  <c r="G298" i="1"/>
  <c r="I298" i="1" s="1"/>
  <c r="O96" i="1"/>
  <c r="E96" i="1"/>
  <c r="G96" i="1" s="1"/>
  <c r="I96" i="1" s="1"/>
  <c r="K298" i="1" l="1"/>
  <c r="L298" i="1" s="1"/>
  <c r="K204" i="1"/>
  <c r="L204" i="1" s="1"/>
  <c r="K296" i="1"/>
  <c r="L296" i="1" s="1"/>
  <c r="K297" i="1"/>
  <c r="L297" i="1" s="1"/>
  <c r="K96" i="1"/>
  <c r="L96" i="1" s="1"/>
  <c r="J186" i="1"/>
  <c r="M186" i="1" s="1"/>
  <c r="H314" i="1"/>
  <c r="F314" i="1"/>
  <c r="D314" i="1"/>
  <c r="O186" i="1" l="1"/>
  <c r="O95" i="1"/>
  <c r="E95" i="1"/>
  <c r="G95" i="1" l="1"/>
  <c r="I95" i="1" s="1"/>
  <c r="E186" i="1"/>
  <c r="J167" i="1"/>
  <c r="M167" i="1" s="1"/>
  <c r="E167" i="1"/>
  <c r="O167" i="1" l="1"/>
  <c r="K95" i="1"/>
  <c r="L95" i="1" s="1"/>
  <c r="G186" i="1"/>
  <c r="I186" i="1" s="1"/>
  <c r="K186" i="1" s="1"/>
  <c r="L186" i="1" s="1"/>
  <c r="G167" i="1"/>
  <c r="I167" i="1" s="1"/>
  <c r="K167" i="1" l="1"/>
  <c r="L167" i="1" s="1"/>
  <c r="J253" i="1"/>
  <c r="M253" i="1" s="1"/>
  <c r="E253" i="1"/>
  <c r="G253" i="1" l="1"/>
  <c r="I253" i="1" s="1"/>
  <c r="O253" i="1"/>
  <c r="K253" i="1" l="1"/>
  <c r="L253" i="1" s="1"/>
  <c r="E252" i="1"/>
  <c r="J252" i="1"/>
  <c r="M252" i="1" s="1"/>
  <c r="O252" i="1" l="1"/>
  <c r="G252" i="1"/>
  <c r="I252" i="1" s="1"/>
  <c r="J251" i="1"/>
  <c r="M251" i="1" s="1"/>
  <c r="J250" i="1"/>
  <c r="M250" i="1" s="1"/>
  <c r="J249" i="1"/>
  <c r="M249" i="1" s="1"/>
  <c r="J248" i="1"/>
  <c r="M248" i="1" s="1"/>
  <c r="J247" i="1"/>
  <c r="M247" i="1" s="1"/>
  <c r="J246" i="1"/>
  <c r="M246" i="1" s="1"/>
  <c r="J245" i="1"/>
  <c r="M245" i="1" s="1"/>
  <c r="E251" i="1"/>
  <c r="E250" i="1"/>
  <c r="E249" i="1"/>
  <c r="E248" i="1"/>
  <c r="E247" i="1"/>
  <c r="E246" i="1"/>
  <c r="E245" i="1"/>
  <c r="O248" i="1" l="1"/>
  <c r="G247" i="1"/>
  <c r="I247" i="1" s="1"/>
  <c r="O249" i="1"/>
  <c r="O250" i="1"/>
  <c r="O251" i="1"/>
  <c r="G251" i="1"/>
  <c r="I251" i="1" s="1"/>
  <c r="O245" i="1"/>
  <c r="K252" i="1"/>
  <c r="L252" i="1" s="1"/>
  <c r="G246" i="1"/>
  <c r="I246" i="1" s="1"/>
  <c r="G248" i="1"/>
  <c r="I248" i="1" s="1"/>
  <c r="G249" i="1"/>
  <c r="I249" i="1" s="1"/>
  <c r="G245" i="1"/>
  <c r="I245" i="1" s="1"/>
  <c r="O246" i="1"/>
  <c r="O247" i="1"/>
  <c r="G250" i="1"/>
  <c r="I250" i="1" s="1"/>
  <c r="K248" i="1" l="1"/>
  <c r="L248" i="1" s="1"/>
  <c r="K246" i="1"/>
  <c r="L246" i="1" s="1"/>
  <c r="K251" i="1"/>
  <c r="L251" i="1" s="1"/>
  <c r="K247" i="1"/>
  <c r="L247" i="1" s="1"/>
  <c r="K245" i="1"/>
  <c r="L245" i="1" s="1"/>
  <c r="K249" i="1"/>
  <c r="L249" i="1" s="1"/>
  <c r="K250" i="1"/>
  <c r="L250" i="1" s="1"/>
  <c r="J94" i="1"/>
  <c r="M94" i="1" s="1"/>
  <c r="O309" i="1" l="1"/>
  <c r="J254" i="1"/>
  <c r="M254" i="1" s="1"/>
  <c r="J244" i="1"/>
  <c r="M244" i="1" s="1"/>
  <c r="O243" i="1"/>
  <c r="J200" i="1"/>
  <c r="M200" i="1" s="1"/>
  <c r="J201" i="1"/>
  <c r="M201" i="1" s="1"/>
  <c r="J202" i="1"/>
  <c r="M202" i="1" s="1"/>
  <c r="J203" i="1"/>
  <c r="M203" i="1" s="1"/>
  <c r="O242" i="1"/>
  <c r="J199" i="1"/>
  <c r="M199" i="1" s="1"/>
  <c r="J185" i="1"/>
  <c r="M185" i="1" s="1"/>
  <c r="J166" i="1"/>
  <c r="M166" i="1" s="1"/>
  <c r="O166" i="1" l="1"/>
  <c r="O244" i="1"/>
  <c r="O254" i="1"/>
  <c r="O203" i="1"/>
  <c r="O201" i="1"/>
  <c r="O200" i="1"/>
  <c r="O185" i="1"/>
  <c r="O199" i="1"/>
  <c r="O202" i="1"/>
  <c r="E293" i="1"/>
  <c r="E294" i="1"/>
  <c r="E295" i="1"/>
  <c r="E254" i="1"/>
  <c r="E199" i="1"/>
  <c r="E200" i="1"/>
  <c r="E201" i="1"/>
  <c r="E202" i="1"/>
  <c r="E203" i="1"/>
  <c r="E241" i="1"/>
  <c r="E242" i="1"/>
  <c r="E243" i="1"/>
  <c r="E244" i="1"/>
  <c r="E185" i="1"/>
  <c r="E166" i="1"/>
  <c r="G244" i="1" l="1"/>
  <c r="I244" i="1" s="1"/>
  <c r="K244" i="1" s="1"/>
  <c r="L244" i="1" s="1"/>
  <c r="G199" i="1"/>
  <c r="I199" i="1" s="1"/>
  <c r="K199" i="1" s="1"/>
  <c r="L199" i="1" s="1"/>
  <c r="G243" i="1"/>
  <c r="I243" i="1" s="1"/>
  <c r="G242" i="1"/>
  <c r="I242" i="1" s="1"/>
  <c r="K242" i="1" s="1"/>
  <c r="L242" i="1" s="1"/>
  <c r="G241" i="1"/>
  <c r="I241" i="1" s="1"/>
  <c r="K241" i="1" s="1"/>
  <c r="L241" i="1" s="1"/>
  <c r="G309" i="1"/>
  <c r="G254" i="1"/>
  <c r="I254" i="1" s="1"/>
  <c r="G203" i="1"/>
  <c r="I203" i="1" s="1"/>
  <c r="G202" i="1"/>
  <c r="I202" i="1" s="1"/>
  <c r="G201" i="1"/>
  <c r="I201" i="1" s="1"/>
  <c r="G200" i="1"/>
  <c r="I200" i="1" s="1"/>
  <c r="G185" i="1"/>
  <c r="I185" i="1" s="1"/>
  <c r="G166" i="1"/>
  <c r="I166" i="1" s="1"/>
  <c r="O94" i="1"/>
  <c r="E94" i="1"/>
  <c r="K243" i="1" l="1"/>
  <c r="L243" i="1" s="1"/>
  <c r="K254" i="1"/>
  <c r="L254" i="1" s="1"/>
  <c r="K203" i="1"/>
  <c r="L203" i="1" s="1"/>
  <c r="K166" i="1"/>
  <c r="L166" i="1" s="1"/>
  <c r="K200" i="1"/>
  <c r="L200" i="1" s="1"/>
  <c r="I309" i="1"/>
  <c r="K309" i="1" s="1"/>
  <c r="L309" i="1" s="1"/>
  <c r="K185" i="1"/>
  <c r="L185" i="1" s="1"/>
  <c r="K202" i="1"/>
  <c r="L202" i="1" s="1"/>
  <c r="K201" i="1"/>
  <c r="L201" i="1" s="1"/>
  <c r="G94" i="1"/>
  <c r="I94" i="1" s="1"/>
  <c r="K94" i="1" l="1"/>
  <c r="L94" i="1" s="1"/>
  <c r="J98" i="1"/>
  <c r="M98" i="1" s="1"/>
  <c r="O98" i="1" l="1"/>
  <c r="J295" i="1"/>
  <c r="M295" i="1" s="1"/>
  <c r="J294" i="1"/>
  <c r="M294" i="1" s="1"/>
  <c r="J293" i="1"/>
  <c r="M293" i="1" s="1"/>
  <c r="J292" i="1"/>
  <c r="M292" i="1" s="1"/>
  <c r="J291" i="1"/>
  <c r="M291" i="1" s="1"/>
  <c r="G295" i="1"/>
  <c r="G294" i="1"/>
  <c r="G293" i="1"/>
  <c r="E292" i="1"/>
  <c r="E291" i="1"/>
  <c r="E286" i="1"/>
  <c r="J286" i="1"/>
  <c r="M286" i="1" s="1"/>
  <c r="E285" i="1"/>
  <c r="J285" i="1"/>
  <c r="M285" i="1" s="1"/>
  <c r="E198" i="1"/>
  <c r="J198" i="1"/>
  <c r="M198" i="1" s="1"/>
  <c r="E197" i="1"/>
  <c r="J197" i="1"/>
  <c r="M197" i="1" s="1"/>
  <c r="E196" i="1"/>
  <c r="J196" i="1"/>
  <c r="M196" i="1" s="1"/>
  <c r="E195" i="1"/>
  <c r="J195" i="1"/>
  <c r="M195" i="1" s="1"/>
  <c r="J194" i="1"/>
  <c r="M194" i="1" s="1"/>
  <c r="E194" i="1"/>
  <c r="E193" i="1"/>
  <c r="J193" i="1"/>
  <c r="M193" i="1" s="1"/>
  <c r="E192" i="1"/>
  <c r="J192" i="1"/>
  <c r="M192" i="1" s="1"/>
  <c r="J191" i="1"/>
  <c r="M191" i="1" s="1"/>
  <c r="J190" i="1"/>
  <c r="M190" i="1" s="1"/>
  <c r="E191" i="1"/>
  <c r="E190" i="1"/>
  <c r="E165" i="1"/>
  <c r="J165" i="1"/>
  <c r="M165" i="1" s="1"/>
  <c r="E164" i="1"/>
  <c r="J164" i="1"/>
  <c r="M164" i="1" s="1"/>
  <c r="J163" i="1"/>
  <c r="M163" i="1" s="1"/>
  <c r="E163" i="1"/>
  <c r="E98" i="1"/>
  <c r="G98" i="1" s="1"/>
  <c r="I98" i="1" s="1"/>
  <c r="O192" i="1" l="1"/>
  <c r="I295" i="1"/>
  <c r="K295" i="1" s="1"/>
  <c r="L295" i="1" s="1"/>
  <c r="O291" i="1"/>
  <c r="G197" i="1"/>
  <c r="O292" i="1"/>
  <c r="O164" i="1"/>
  <c r="O286" i="1"/>
  <c r="O165" i="1"/>
  <c r="G190" i="1"/>
  <c r="I190" i="1" s="1"/>
  <c r="K190" i="1" s="1"/>
  <c r="L190" i="1" s="1"/>
  <c r="O198" i="1"/>
  <c r="O293" i="1"/>
  <c r="O196" i="1"/>
  <c r="G286" i="1"/>
  <c r="I286" i="1" s="1"/>
  <c r="K286" i="1" s="1"/>
  <c r="L286" i="1" s="1"/>
  <c r="O193" i="1"/>
  <c r="G292" i="1"/>
  <c r="I292" i="1" s="1"/>
  <c r="O194" i="1"/>
  <c r="O294" i="1"/>
  <c r="G192" i="1"/>
  <c r="I192" i="1" s="1"/>
  <c r="O197" i="1"/>
  <c r="G165" i="1"/>
  <c r="I165" i="1" s="1"/>
  <c r="K165" i="1" s="1"/>
  <c r="L165" i="1" s="1"/>
  <c r="G163" i="1"/>
  <c r="I163" i="1" s="1"/>
  <c r="O190" i="1"/>
  <c r="O195" i="1"/>
  <c r="O285" i="1"/>
  <c r="I294" i="1"/>
  <c r="K294" i="1" s="1"/>
  <c r="L294" i="1" s="1"/>
  <c r="O163" i="1"/>
  <c r="O191" i="1"/>
  <c r="O295" i="1"/>
  <c r="I293" i="1"/>
  <c r="K293" i="1" s="1"/>
  <c r="L293" i="1" s="1"/>
  <c r="G291" i="1"/>
  <c r="I291" i="1" s="1"/>
  <c r="K291" i="1" s="1"/>
  <c r="L291" i="1" s="1"/>
  <c r="G285" i="1"/>
  <c r="I285" i="1" s="1"/>
  <c r="G198" i="1"/>
  <c r="I198" i="1" s="1"/>
  <c r="G196" i="1"/>
  <c r="I196" i="1" s="1"/>
  <c r="G195" i="1"/>
  <c r="I195" i="1" s="1"/>
  <c r="G194" i="1"/>
  <c r="I194" i="1" s="1"/>
  <c r="G193" i="1"/>
  <c r="I193" i="1" s="1"/>
  <c r="G191" i="1"/>
  <c r="I191" i="1" s="1"/>
  <c r="G164" i="1"/>
  <c r="I164" i="1" s="1"/>
  <c r="K98" i="1"/>
  <c r="L98" i="1" s="1"/>
  <c r="J26" i="1"/>
  <c r="M26" i="1" s="1"/>
  <c r="J25" i="1"/>
  <c r="M25" i="1" s="1"/>
  <c r="J24" i="1"/>
  <c r="M24" i="1" s="1"/>
  <c r="J22" i="1"/>
  <c r="M22" i="1" s="1"/>
  <c r="J287" i="1"/>
  <c r="M287" i="1" s="1"/>
  <c r="J288" i="1"/>
  <c r="M288" i="1" s="1"/>
  <c r="J289" i="1"/>
  <c r="M289" i="1" s="1"/>
  <c r="J290" i="1"/>
  <c r="M290" i="1" s="1"/>
  <c r="O310" i="1"/>
  <c r="J278" i="1"/>
  <c r="M278" i="1" s="1"/>
  <c r="J279" i="1"/>
  <c r="M279" i="1" s="1"/>
  <c r="J280" i="1"/>
  <c r="M280" i="1" s="1"/>
  <c r="J281" i="1"/>
  <c r="M281" i="1" s="1"/>
  <c r="J282" i="1"/>
  <c r="M282" i="1" s="1"/>
  <c r="J283" i="1"/>
  <c r="M283" i="1" s="1"/>
  <c r="J284" i="1"/>
  <c r="M284" i="1" s="1"/>
  <c r="J277" i="1"/>
  <c r="M277" i="1" s="1"/>
  <c r="J276" i="1"/>
  <c r="M276" i="1" s="1"/>
  <c r="J275" i="1"/>
  <c r="M275" i="1" s="1"/>
  <c r="J274" i="1"/>
  <c r="M274" i="1" s="1"/>
  <c r="J273" i="1"/>
  <c r="M273" i="1" s="1"/>
  <c r="J272" i="1"/>
  <c r="M272" i="1" s="1"/>
  <c r="J271" i="1"/>
  <c r="M271" i="1" s="1"/>
  <c r="J270" i="1"/>
  <c r="M270" i="1" s="1"/>
  <c r="J269" i="1"/>
  <c r="M269" i="1" s="1"/>
  <c r="K164" i="1" l="1"/>
  <c r="L164" i="1" s="1"/>
  <c r="K163" i="1"/>
  <c r="L163" i="1" s="1"/>
  <c r="K192" i="1"/>
  <c r="L192" i="1" s="1"/>
  <c r="K191" i="1"/>
  <c r="L191" i="1" s="1"/>
  <c r="O282" i="1"/>
  <c r="K292" i="1"/>
  <c r="L292" i="1" s="1"/>
  <c r="O272" i="1"/>
  <c r="O275" i="1"/>
  <c r="K285" i="1"/>
  <c r="L285" i="1" s="1"/>
  <c r="O288" i="1"/>
  <c r="O287" i="1"/>
  <c r="O276" i="1"/>
  <c r="O278" i="1"/>
  <c r="K195" i="1"/>
  <c r="L195" i="1" s="1"/>
  <c r="K194" i="1"/>
  <c r="L194" i="1" s="1"/>
  <c r="O281" i="1"/>
  <c r="O280" i="1"/>
  <c r="O277" i="1"/>
  <c r="K193" i="1"/>
  <c r="L193" i="1" s="1"/>
  <c r="O284" i="1"/>
  <c r="O290" i="1"/>
  <c r="K198" i="1"/>
  <c r="L198" i="1" s="1"/>
  <c r="O273" i="1"/>
  <c r="O274" i="1"/>
  <c r="O279" i="1"/>
  <c r="O269" i="1"/>
  <c r="O270" i="1"/>
  <c r="O271" i="1"/>
  <c r="O283" i="1"/>
  <c r="O289" i="1"/>
  <c r="I197" i="1"/>
  <c r="K197" i="1" s="1"/>
  <c r="L197" i="1" s="1"/>
  <c r="K196" i="1"/>
  <c r="L196" i="1" s="1"/>
  <c r="E310" i="1"/>
  <c r="E290" i="1"/>
  <c r="E289" i="1"/>
  <c r="E288" i="1"/>
  <c r="E287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" i="1"/>
  <c r="G26" i="1" s="1"/>
  <c r="O26" i="1"/>
  <c r="E25" i="1"/>
  <c r="G25" i="1" s="1"/>
  <c r="I25" i="1" s="1"/>
  <c r="K25" i="1" s="1"/>
  <c r="L25" i="1" s="1"/>
  <c r="O25" i="1"/>
  <c r="E24" i="1"/>
  <c r="G24" i="1" s="1"/>
  <c r="I24" i="1" s="1"/>
  <c r="O24" i="1"/>
  <c r="E22" i="1"/>
  <c r="G22" i="1" s="1"/>
  <c r="I22" i="1" s="1"/>
  <c r="O22" i="1"/>
  <c r="G287" i="1" l="1"/>
  <c r="I287" i="1" s="1"/>
  <c r="K287" i="1" s="1"/>
  <c r="L287" i="1" s="1"/>
  <c r="G278" i="1"/>
  <c r="I278" i="1" s="1"/>
  <c r="G288" i="1"/>
  <c r="I288" i="1" s="1"/>
  <c r="G276" i="1"/>
  <c r="I276" i="1" s="1"/>
  <c r="G289" i="1"/>
  <c r="I289" i="1" s="1"/>
  <c r="G290" i="1"/>
  <c r="I290" i="1" s="1"/>
  <c r="G273" i="1"/>
  <c r="I273" i="1" s="1"/>
  <c r="G281" i="1"/>
  <c r="I281" i="1" s="1"/>
  <c r="G284" i="1"/>
  <c r="I284" i="1" s="1"/>
  <c r="G270" i="1"/>
  <c r="I270" i="1" s="1"/>
  <c r="G279" i="1"/>
  <c r="I279" i="1" s="1"/>
  <c r="K279" i="1"/>
  <c r="L279" i="1" s="1"/>
  <c r="G274" i="1"/>
  <c r="I274" i="1" s="1"/>
  <c r="K274" i="1"/>
  <c r="L274" i="1" s="1"/>
  <c r="G271" i="1"/>
  <c r="I271" i="1" s="1"/>
  <c r="G275" i="1"/>
  <c r="I275" i="1" s="1"/>
  <c r="G283" i="1"/>
  <c r="I283" i="1" s="1"/>
  <c r="G310" i="1"/>
  <c r="I310" i="1" s="1"/>
  <c r="G282" i="1"/>
  <c r="I282" i="1" s="1"/>
  <c r="G280" i="1"/>
  <c r="I280" i="1" s="1"/>
  <c r="G277" i="1"/>
  <c r="I277" i="1" s="1"/>
  <c r="G272" i="1"/>
  <c r="I272" i="1" s="1"/>
  <c r="G269" i="1"/>
  <c r="I269" i="1" s="1"/>
  <c r="I26" i="1"/>
  <c r="K26" i="1" s="1"/>
  <c r="L26" i="1" s="1"/>
  <c r="K22" i="1"/>
  <c r="L22" i="1" s="1"/>
  <c r="K24" i="1"/>
  <c r="L24" i="1" s="1"/>
  <c r="J260" i="1"/>
  <c r="M260" i="1" s="1"/>
  <c r="K275" i="1" l="1"/>
  <c r="L275" i="1" s="1"/>
  <c r="K288" i="1"/>
  <c r="L288" i="1" s="1"/>
  <c r="K290" i="1"/>
  <c r="L290" i="1" s="1"/>
  <c r="K278" i="1"/>
  <c r="L278" i="1" s="1"/>
  <c r="K283" i="1"/>
  <c r="L283" i="1" s="1"/>
  <c r="K284" i="1"/>
  <c r="L284" i="1" s="1"/>
  <c r="K310" i="1"/>
  <c r="L310" i="1" s="1"/>
  <c r="K282" i="1"/>
  <c r="L282" i="1" s="1"/>
  <c r="K280" i="1"/>
  <c r="L280" i="1" s="1"/>
  <c r="K272" i="1"/>
  <c r="L272" i="1" s="1"/>
  <c r="K281" i="1"/>
  <c r="L281" i="1" s="1"/>
  <c r="K289" i="1"/>
  <c r="L289" i="1" s="1"/>
  <c r="O260" i="1"/>
  <c r="K271" i="1"/>
  <c r="L271" i="1" s="1"/>
  <c r="K273" i="1"/>
  <c r="L273" i="1" s="1"/>
  <c r="K277" i="1"/>
  <c r="L277" i="1" s="1"/>
  <c r="K270" i="1"/>
  <c r="L270" i="1" s="1"/>
  <c r="K276" i="1"/>
  <c r="L276" i="1" s="1"/>
  <c r="K269" i="1"/>
  <c r="L269" i="1" s="1"/>
  <c r="E99" i="1"/>
  <c r="E93" i="1"/>
  <c r="E92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G68" i="1" s="1"/>
  <c r="E31" i="1"/>
  <c r="E30" i="1"/>
  <c r="E29" i="1"/>
  <c r="E28" i="1"/>
  <c r="E27" i="1"/>
  <c r="E23" i="1"/>
  <c r="E21" i="1"/>
  <c r="E20" i="1"/>
  <c r="E19" i="1"/>
  <c r="E18" i="1"/>
  <c r="E17" i="1"/>
  <c r="E16" i="1"/>
  <c r="E15" i="1"/>
  <c r="E14" i="1"/>
  <c r="E13" i="1"/>
  <c r="E260" i="1" l="1"/>
  <c r="G260" i="1" l="1"/>
  <c r="I260" i="1" s="1"/>
  <c r="J31" i="1"/>
  <c r="M31" i="1" s="1"/>
  <c r="K260" i="1" l="1"/>
  <c r="L260" i="1" s="1"/>
  <c r="O31" i="1"/>
  <c r="G31" i="1"/>
  <c r="J259" i="1"/>
  <c r="M259" i="1" s="1"/>
  <c r="J258" i="1"/>
  <c r="M258" i="1" s="1"/>
  <c r="O258" i="1" l="1"/>
  <c r="O259" i="1"/>
  <c r="I31" i="1"/>
  <c r="K31" i="1" s="1"/>
  <c r="L31" i="1" s="1"/>
  <c r="G73" i="1" l="1"/>
  <c r="I73" i="1" s="1"/>
  <c r="G72" i="1"/>
  <c r="I72" i="1" s="1"/>
  <c r="G70" i="1"/>
  <c r="I70" i="1" s="1"/>
  <c r="F103" i="1" l="1"/>
  <c r="E155" i="1" l="1"/>
  <c r="G155" i="1" s="1"/>
  <c r="I155" i="1" s="1"/>
  <c r="E156" i="1"/>
  <c r="E157" i="1"/>
  <c r="E158" i="1"/>
  <c r="E159" i="1"/>
  <c r="E160" i="1"/>
  <c r="E161" i="1"/>
  <c r="E162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7" i="1"/>
  <c r="E188" i="1"/>
  <c r="E189" i="1"/>
  <c r="E255" i="1"/>
  <c r="E256" i="1"/>
  <c r="E257" i="1"/>
  <c r="E258" i="1"/>
  <c r="E259" i="1"/>
  <c r="E261" i="1"/>
  <c r="E262" i="1"/>
  <c r="E263" i="1"/>
  <c r="E264" i="1"/>
  <c r="E265" i="1"/>
  <c r="E266" i="1"/>
  <c r="E267" i="1"/>
  <c r="E268" i="1"/>
  <c r="E154" i="1"/>
  <c r="G182" i="1" l="1"/>
  <c r="I182" i="1" s="1"/>
  <c r="G174" i="1"/>
  <c r="I174" i="1" s="1"/>
  <c r="G179" i="1"/>
  <c r="I179" i="1" s="1"/>
  <c r="K179" i="1" s="1"/>
  <c r="G162" i="1"/>
  <c r="I162" i="1" s="1"/>
  <c r="G181" i="1"/>
  <c r="I181" i="1" s="1"/>
  <c r="G160" i="1"/>
  <c r="I160" i="1" s="1"/>
  <c r="K160" i="1" s="1"/>
  <c r="G159" i="1"/>
  <c r="I159" i="1" s="1"/>
  <c r="G188" i="1"/>
  <c r="I188" i="1" s="1"/>
  <c r="G178" i="1"/>
  <c r="I178" i="1" s="1"/>
  <c r="G171" i="1"/>
  <c r="I171" i="1" s="1"/>
  <c r="G158" i="1"/>
  <c r="I158" i="1" s="1"/>
  <c r="G265" i="1"/>
  <c r="I265" i="1" s="1"/>
  <c r="K265" i="1" s="1"/>
  <c r="G255" i="1"/>
  <c r="I255" i="1" s="1"/>
  <c r="G173" i="1"/>
  <c r="I173" i="1" s="1"/>
  <c r="G172" i="1"/>
  <c r="I172" i="1" s="1"/>
  <c r="G268" i="1"/>
  <c r="I268" i="1" s="1"/>
  <c r="G187" i="1"/>
  <c r="I187" i="1" s="1"/>
  <c r="G177" i="1"/>
  <c r="I177" i="1" s="1"/>
  <c r="G170" i="1"/>
  <c r="I170" i="1" s="1"/>
  <c r="G157" i="1"/>
  <c r="I157" i="1" s="1"/>
  <c r="G256" i="1"/>
  <c r="I256" i="1" s="1"/>
  <c r="G161" i="1"/>
  <c r="I161" i="1" s="1"/>
  <c r="G189" i="1"/>
  <c r="I189" i="1" s="1"/>
  <c r="G184" i="1"/>
  <c r="I184" i="1" s="1"/>
  <c r="G169" i="1"/>
  <c r="I169" i="1" s="1"/>
  <c r="G156" i="1"/>
  <c r="I156" i="1" s="1"/>
  <c r="G175" i="1"/>
  <c r="I175" i="1" s="1"/>
  <c r="G264" i="1"/>
  <c r="I264" i="1" s="1"/>
  <c r="K264" i="1" s="1"/>
  <c r="G263" i="1"/>
  <c r="I263" i="1" s="1"/>
  <c r="G180" i="1"/>
  <c r="I180" i="1" s="1"/>
  <c r="G267" i="1"/>
  <c r="I267" i="1" s="1"/>
  <c r="G266" i="1"/>
  <c r="I266" i="1" s="1"/>
  <c r="G257" i="1"/>
  <c r="I257" i="1" s="1"/>
  <c r="G183" i="1"/>
  <c r="I183" i="1" s="1"/>
  <c r="G176" i="1"/>
  <c r="I176" i="1" s="1"/>
  <c r="G168" i="1"/>
  <c r="I168" i="1" s="1"/>
  <c r="G154" i="1"/>
  <c r="E314" i="1"/>
  <c r="G262" i="1"/>
  <c r="I262" i="1" s="1"/>
  <c r="G261" i="1"/>
  <c r="I261" i="1" s="1"/>
  <c r="G259" i="1"/>
  <c r="I259" i="1" s="1"/>
  <c r="G258" i="1"/>
  <c r="I258" i="1" s="1"/>
  <c r="K268" i="1" l="1"/>
  <c r="K263" i="1"/>
  <c r="K266" i="1"/>
  <c r="K255" i="1"/>
  <c r="K257" i="1"/>
  <c r="K256" i="1"/>
  <c r="K178" i="1"/>
  <c r="K157" i="1"/>
  <c r="K171" i="1"/>
  <c r="K177" i="1"/>
  <c r="K173" i="1"/>
  <c r="K174" i="1"/>
  <c r="K182" i="1"/>
  <c r="K156" i="1"/>
  <c r="K187" i="1"/>
  <c r="K188" i="1"/>
  <c r="K168" i="1"/>
  <c r="K162" i="1"/>
  <c r="K180" i="1"/>
  <c r="K169" i="1"/>
  <c r="K159" i="1"/>
  <c r="K161" i="1"/>
  <c r="K181" i="1"/>
  <c r="K176" i="1"/>
  <c r="K267" i="1"/>
  <c r="K183" i="1"/>
  <c r="K259" i="1"/>
  <c r="L259" i="1" s="1"/>
  <c r="K175" i="1"/>
  <c r="K184" i="1"/>
  <c r="K262" i="1"/>
  <c r="K258" i="1"/>
  <c r="L258" i="1" s="1"/>
  <c r="K189" i="1"/>
  <c r="K170" i="1"/>
  <c r="K172" i="1"/>
  <c r="K158" i="1"/>
  <c r="K261" i="1"/>
  <c r="I154" i="1"/>
  <c r="I314" i="1" s="1"/>
  <c r="G314" i="1"/>
  <c r="J257" i="1"/>
  <c r="M257" i="1" s="1"/>
  <c r="J256" i="1"/>
  <c r="M256" i="1" s="1"/>
  <c r="O256" i="1" l="1"/>
  <c r="L256" i="1"/>
  <c r="O257" i="1"/>
  <c r="L257" i="1"/>
  <c r="J268" i="1"/>
  <c r="M268" i="1" s="1"/>
  <c r="J267" i="1"/>
  <c r="M267" i="1" s="1"/>
  <c r="J266" i="1"/>
  <c r="M266" i="1" s="1"/>
  <c r="J265" i="1"/>
  <c r="M265" i="1" s="1"/>
  <c r="J264" i="1"/>
  <c r="M264" i="1" s="1"/>
  <c r="J263" i="1"/>
  <c r="M263" i="1" s="1"/>
  <c r="J262" i="1"/>
  <c r="M262" i="1" s="1"/>
  <c r="J261" i="1"/>
  <c r="M261" i="1" s="1"/>
  <c r="J255" i="1"/>
  <c r="M255" i="1" s="1"/>
  <c r="J189" i="1"/>
  <c r="M189" i="1" s="1"/>
  <c r="J188" i="1"/>
  <c r="M188" i="1" s="1"/>
  <c r="J187" i="1"/>
  <c r="M187" i="1" s="1"/>
  <c r="J184" i="1"/>
  <c r="M184" i="1" s="1"/>
  <c r="J183" i="1"/>
  <c r="M183" i="1" s="1"/>
  <c r="J182" i="1"/>
  <c r="M182" i="1" s="1"/>
  <c r="J181" i="1"/>
  <c r="M181" i="1" s="1"/>
  <c r="J180" i="1"/>
  <c r="M180" i="1" s="1"/>
  <c r="J179" i="1"/>
  <c r="M179" i="1" s="1"/>
  <c r="J178" i="1"/>
  <c r="M178" i="1" s="1"/>
  <c r="J177" i="1"/>
  <c r="M177" i="1" s="1"/>
  <c r="J176" i="1"/>
  <c r="J175" i="1"/>
  <c r="M175" i="1" s="1"/>
  <c r="J174" i="1"/>
  <c r="J173" i="1"/>
  <c r="M173" i="1" s="1"/>
  <c r="J172" i="1"/>
  <c r="M172" i="1" s="1"/>
  <c r="J171" i="1"/>
  <c r="M171" i="1" s="1"/>
  <c r="J170" i="1"/>
  <c r="M170" i="1" s="1"/>
  <c r="J169" i="1"/>
  <c r="M169" i="1" s="1"/>
  <c r="J168" i="1"/>
  <c r="M168" i="1" s="1"/>
  <c r="J162" i="1"/>
  <c r="M162" i="1" s="1"/>
  <c r="J161" i="1"/>
  <c r="M161" i="1" s="1"/>
  <c r="J160" i="1"/>
  <c r="M160" i="1" s="1"/>
  <c r="J159" i="1"/>
  <c r="M159" i="1" s="1"/>
  <c r="J158" i="1"/>
  <c r="M158" i="1" s="1"/>
  <c r="J157" i="1"/>
  <c r="M157" i="1" s="1"/>
  <c r="J156" i="1"/>
  <c r="M156" i="1" s="1"/>
  <c r="J155" i="1"/>
  <c r="K155" i="1"/>
  <c r="J154" i="1"/>
  <c r="M154" i="1" s="1"/>
  <c r="K154" i="1"/>
  <c r="H103" i="1"/>
  <c r="D103" i="1"/>
  <c r="J99" i="1"/>
  <c r="M99" i="1" s="1"/>
  <c r="G99" i="1"/>
  <c r="I99" i="1" s="1"/>
  <c r="J93" i="1"/>
  <c r="M93" i="1" s="1"/>
  <c r="G93" i="1"/>
  <c r="I93" i="1" s="1"/>
  <c r="J92" i="1"/>
  <c r="M92" i="1" s="1"/>
  <c r="G92" i="1"/>
  <c r="I92" i="1" s="1"/>
  <c r="J90" i="1"/>
  <c r="M90" i="1" s="1"/>
  <c r="G90" i="1"/>
  <c r="I90" i="1" s="1"/>
  <c r="J89" i="1"/>
  <c r="M89" i="1" s="1"/>
  <c r="G89" i="1"/>
  <c r="I89" i="1" s="1"/>
  <c r="J88" i="1"/>
  <c r="M88" i="1" s="1"/>
  <c r="G88" i="1"/>
  <c r="I88" i="1" s="1"/>
  <c r="J87" i="1"/>
  <c r="M87" i="1" s="1"/>
  <c r="G87" i="1"/>
  <c r="I87" i="1" s="1"/>
  <c r="J86" i="1"/>
  <c r="M86" i="1" s="1"/>
  <c r="G86" i="1"/>
  <c r="I86" i="1" s="1"/>
  <c r="J85" i="1"/>
  <c r="M85" i="1" s="1"/>
  <c r="G85" i="1"/>
  <c r="I85" i="1" s="1"/>
  <c r="J84" i="1"/>
  <c r="M84" i="1" s="1"/>
  <c r="G84" i="1"/>
  <c r="I84" i="1" s="1"/>
  <c r="J83" i="1"/>
  <c r="M83" i="1" s="1"/>
  <c r="G83" i="1"/>
  <c r="I83" i="1" s="1"/>
  <c r="J82" i="1"/>
  <c r="M82" i="1" s="1"/>
  <c r="G82" i="1"/>
  <c r="I82" i="1" s="1"/>
  <c r="J81" i="1"/>
  <c r="M81" i="1" s="1"/>
  <c r="G81" i="1"/>
  <c r="I81" i="1" s="1"/>
  <c r="J80" i="1"/>
  <c r="M80" i="1" s="1"/>
  <c r="G80" i="1"/>
  <c r="I80" i="1" s="1"/>
  <c r="J79" i="1"/>
  <c r="M79" i="1" s="1"/>
  <c r="G79" i="1"/>
  <c r="I79" i="1" s="1"/>
  <c r="J78" i="1"/>
  <c r="M78" i="1" s="1"/>
  <c r="G78" i="1"/>
  <c r="I78" i="1" s="1"/>
  <c r="J77" i="1"/>
  <c r="M77" i="1" s="1"/>
  <c r="G77" i="1"/>
  <c r="I77" i="1" s="1"/>
  <c r="J76" i="1"/>
  <c r="M76" i="1" s="1"/>
  <c r="G76" i="1"/>
  <c r="I76" i="1" s="1"/>
  <c r="J75" i="1"/>
  <c r="M75" i="1" s="1"/>
  <c r="G75" i="1"/>
  <c r="I75" i="1" s="1"/>
  <c r="J74" i="1"/>
  <c r="M74" i="1" s="1"/>
  <c r="G74" i="1"/>
  <c r="I74" i="1" s="1"/>
  <c r="J73" i="1"/>
  <c r="M73" i="1" s="1"/>
  <c r="J72" i="1"/>
  <c r="M72" i="1" s="1"/>
  <c r="J71" i="1"/>
  <c r="M71" i="1" s="1"/>
  <c r="G71" i="1"/>
  <c r="I71" i="1" s="1"/>
  <c r="J70" i="1"/>
  <c r="M70" i="1" s="1"/>
  <c r="J69" i="1"/>
  <c r="M69" i="1" s="1"/>
  <c r="J68" i="1"/>
  <c r="M68" i="1" s="1"/>
  <c r="I66" i="1"/>
  <c r="I152" i="1" s="1"/>
  <c r="G66" i="1"/>
  <c r="G152" i="1" s="1"/>
  <c r="E66" i="1"/>
  <c r="E152" i="1" s="1"/>
  <c r="H63" i="1"/>
  <c r="H34" i="1"/>
  <c r="F34" i="1"/>
  <c r="D34" i="1"/>
  <c r="J30" i="1"/>
  <c r="M30" i="1" s="1"/>
  <c r="G30" i="1"/>
  <c r="J29" i="1"/>
  <c r="M29" i="1" s="1"/>
  <c r="G29" i="1"/>
  <c r="J28" i="1"/>
  <c r="M28" i="1" s="1"/>
  <c r="G28" i="1"/>
  <c r="J27" i="1"/>
  <c r="M27" i="1" s="1"/>
  <c r="G27" i="1"/>
  <c r="J23" i="1"/>
  <c r="M23" i="1" s="1"/>
  <c r="G23" i="1"/>
  <c r="J21" i="1"/>
  <c r="M21" i="1" s="1"/>
  <c r="G21" i="1"/>
  <c r="I21" i="1" s="1"/>
  <c r="J20" i="1"/>
  <c r="M20" i="1" s="1"/>
  <c r="G20" i="1"/>
  <c r="J19" i="1"/>
  <c r="M19" i="1" s="1"/>
  <c r="G19" i="1"/>
  <c r="I19" i="1" s="1"/>
  <c r="J18" i="1"/>
  <c r="M18" i="1" s="1"/>
  <c r="I18" i="1"/>
  <c r="G18" i="1"/>
  <c r="J17" i="1"/>
  <c r="M17" i="1" s="1"/>
  <c r="I17" i="1"/>
  <c r="G17" i="1"/>
  <c r="J16" i="1"/>
  <c r="M16" i="1" s="1"/>
  <c r="I16" i="1"/>
  <c r="G16" i="1"/>
  <c r="J15" i="1"/>
  <c r="M15" i="1" s="1"/>
  <c r="I15" i="1"/>
  <c r="G15" i="1"/>
  <c r="J14" i="1"/>
  <c r="M14" i="1" s="1"/>
  <c r="J13" i="1"/>
  <c r="M13" i="1" s="1"/>
  <c r="I13" i="1"/>
  <c r="M155" i="1" l="1"/>
  <c r="O155" i="1" s="1"/>
  <c r="O261" i="1"/>
  <c r="L261" i="1"/>
  <c r="O176" i="1"/>
  <c r="L176" i="1"/>
  <c r="O262" i="1"/>
  <c r="L262" i="1"/>
  <c r="O175" i="1"/>
  <c r="L175" i="1"/>
  <c r="O156" i="1"/>
  <c r="L156" i="1"/>
  <c r="O169" i="1"/>
  <c r="L169" i="1"/>
  <c r="O184" i="1"/>
  <c r="L184" i="1"/>
  <c r="O263" i="1"/>
  <c r="L263" i="1"/>
  <c r="O157" i="1"/>
  <c r="L157" i="1"/>
  <c r="O170" i="1"/>
  <c r="L170" i="1"/>
  <c r="O177" i="1"/>
  <c r="L177" i="1"/>
  <c r="O187" i="1"/>
  <c r="L187" i="1"/>
  <c r="O264" i="1"/>
  <c r="L264" i="1"/>
  <c r="O162" i="1"/>
  <c r="L162" i="1"/>
  <c r="O168" i="1"/>
  <c r="L168" i="1"/>
  <c r="O158" i="1"/>
  <c r="L158" i="1"/>
  <c r="O171" i="1"/>
  <c r="L171" i="1"/>
  <c r="O178" i="1"/>
  <c r="L178" i="1"/>
  <c r="O188" i="1"/>
  <c r="L188" i="1"/>
  <c r="O265" i="1"/>
  <c r="L265" i="1"/>
  <c r="O182" i="1"/>
  <c r="L182" i="1"/>
  <c r="O159" i="1"/>
  <c r="L159" i="1"/>
  <c r="O172" i="1"/>
  <c r="L172" i="1"/>
  <c r="O179" i="1"/>
  <c r="L179" i="1"/>
  <c r="O189" i="1"/>
  <c r="L189" i="1"/>
  <c r="O266" i="1"/>
  <c r="L266" i="1"/>
  <c r="O183" i="1"/>
  <c r="L183" i="1"/>
  <c r="O160" i="1"/>
  <c r="L160" i="1"/>
  <c r="O173" i="1"/>
  <c r="L173" i="1"/>
  <c r="O180" i="1"/>
  <c r="L180" i="1"/>
  <c r="O267" i="1"/>
  <c r="L267" i="1"/>
  <c r="O161" i="1"/>
  <c r="L161" i="1"/>
  <c r="O174" i="1"/>
  <c r="L174" i="1"/>
  <c r="O181" i="1"/>
  <c r="L181" i="1"/>
  <c r="O255" i="1"/>
  <c r="L255" i="1"/>
  <c r="O268" i="1"/>
  <c r="L268" i="1"/>
  <c r="J103" i="1"/>
  <c r="J314" i="1"/>
  <c r="I29" i="1"/>
  <c r="K29" i="1" s="1"/>
  <c r="L29" i="1" s="1"/>
  <c r="I20" i="1"/>
  <c r="K20" i="1" s="1"/>
  <c r="L20" i="1" s="1"/>
  <c r="I30" i="1"/>
  <c r="K30" i="1" s="1"/>
  <c r="I28" i="1"/>
  <c r="K28" i="1" s="1"/>
  <c r="I23" i="1"/>
  <c r="K23" i="1" s="1"/>
  <c r="I27" i="1"/>
  <c r="K27" i="1" s="1"/>
  <c r="K75" i="1"/>
  <c r="O75" i="1" s="1"/>
  <c r="K83" i="1"/>
  <c r="O83" i="1" s="1"/>
  <c r="K92" i="1"/>
  <c r="L92" i="1" s="1"/>
  <c r="K84" i="1"/>
  <c r="O84" i="1" s="1"/>
  <c r="K93" i="1"/>
  <c r="O93" i="1" s="1"/>
  <c r="K74" i="1"/>
  <c r="O74" i="1" s="1"/>
  <c r="K82" i="1"/>
  <c r="L82" i="1" s="1"/>
  <c r="K86" i="1"/>
  <c r="O86" i="1" s="1"/>
  <c r="K19" i="1"/>
  <c r="L19" i="1" s="1"/>
  <c r="O23" i="1"/>
  <c r="K16" i="1"/>
  <c r="L16" i="1" s="1"/>
  <c r="O30" i="1"/>
  <c r="K79" i="1"/>
  <c r="L79" i="1" s="1"/>
  <c r="K21" i="1"/>
  <c r="O21" i="1" s="1"/>
  <c r="K15" i="1"/>
  <c r="L15" i="1" s="1"/>
  <c r="K17" i="1"/>
  <c r="O17" i="1" s="1"/>
  <c r="K77" i="1"/>
  <c r="O77" i="1" s="1"/>
  <c r="K90" i="1"/>
  <c r="O90" i="1" s="1"/>
  <c r="G13" i="1"/>
  <c r="K13" i="1" s="1"/>
  <c r="K73" i="1"/>
  <c r="O73" i="1" s="1"/>
  <c r="O28" i="1"/>
  <c r="K81" i="1"/>
  <c r="O81" i="1" s="1"/>
  <c r="E103" i="1"/>
  <c r="K72" i="1"/>
  <c r="K88" i="1"/>
  <c r="O88" i="1" s="1"/>
  <c r="E34" i="1"/>
  <c r="G14" i="1"/>
  <c r="K80" i="1"/>
  <c r="K89" i="1"/>
  <c r="O89" i="1" s="1"/>
  <c r="K99" i="1"/>
  <c r="L99" i="1" s="1"/>
  <c r="K18" i="1"/>
  <c r="L18" i="1" s="1"/>
  <c r="K71" i="1"/>
  <c r="O71" i="1" s="1"/>
  <c r="K78" i="1"/>
  <c r="O78" i="1" s="1"/>
  <c r="K87" i="1"/>
  <c r="O87" i="1" s="1"/>
  <c r="O27" i="1"/>
  <c r="K76" i="1"/>
  <c r="O76" i="1" s="1"/>
  <c r="K85" i="1"/>
  <c r="O85" i="1" s="1"/>
  <c r="L155" i="1"/>
  <c r="G69" i="1"/>
  <c r="J34" i="1"/>
  <c r="L154" i="1"/>
  <c r="O20" i="1"/>
  <c r="O154" i="1"/>
  <c r="K70" i="1"/>
  <c r="K314" i="1" l="1"/>
  <c r="L314" i="1" s="1"/>
  <c r="I68" i="1"/>
  <c r="I69" i="1"/>
  <c r="K69" i="1" s="1"/>
  <c r="L69" i="1" s="1"/>
  <c r="I14" i="1"/>
  <c r="I34" i="1" s="1"/>
  <c r="O92" i="1"/>
  <c r="L83" i="1"/>
  <c r="L89" i="1"/>
  <c r="L75" i="1"/>
  <c r="L30" i="1"/>
  <c r="O72" i="1"/>
  <c r="O16" i="1"/>
  <c r="L93" i="1"/>
  <c r="L84" i="1"/>
  <c r="O19" i="1"/>
  <c r="L74" i="1"/>
  <c r="O18" i="1"/>
  <c r="O79" i="1"/>
  <c r="O82" i="1"/>
  <c r="O29" i="1"/>
  <c r="L23" i="1"/>
  <c r="L77" i="1"/>
  <c r="L87" i="1"/>
  <c r="L86" i="1"/>
  <c r="L81" i="1"/>
  <c r="L21" i="1"/>
  <c r="L72" i="1"/>
  <c r="L73" i="1"/>
  <c r="L28" i="1"/>
  <c r="O15" i="1"/>
  <c r="L80" i="1"/>
  <c r="L90" i="1"/>
  <c r="L27" i="1"/>
  <c r="L17" i="1"/>
  <c r="O13" i="1"/>
  <c r="L13" i="1"/>
  <c r="L71" i="1"/>
  <c r="G34" i="1"/>
  <c r="O69" i="1"/>
  <c r="L85" i="1"/>
  <c r="L76" i="1"/>
  <c r="O80" i="1"/>
  <c r="L88" i="1"/>
  <c r="L78" i="1"/>
  <c r="O99" i="1"/>
  <c r="G103" i="1"/>
  <c r="M103" i="1"/>
  <c r="M34" i="1"/>
  <c r="L70" i="1"/>
  <c r="I103" i="1" l="1"/>
  <c r="K68" i="1"/>
  <c r="K14" i="1"/>
  <c r="N34" i="1"/>
  <c r="M314" i="1"/>
  <c r="N103" i="1"/>
  <c r="O103" i="1" s="1"/>
  <c r="O70" i="1"/>
  <c r="O34" i="1" l="1"/>
  <c r="O68" i="1"/>
  <c r="K103" i="1"/>
  <c r="L103" i="1" s="1"/>
  <c r="L68" i="1"/>
  <c r="O14" i="1"/>
  <c r="K34" i="1"/>
  <c r="L34" i="1" s="1"/>
  <c r="L14" i="1"/>
  <c r="O314" i="1"/>
</calcChain>
</file>

<file path=xl/sharedStrings.xml><?xml version="1.0" encoding="utf-8"?>
<sst xmlns="http://schemas.openxmlformats.org/spreadsheetml/2006/main" count="522" uniqueCount="428">
  <si>
    <t xml:space="preserve"> </t>
  </si>
  <si>
    <t>Anexo 11</t>
  </si>
  <si>
    <t>Flujo contable trimestral de Ingresos y Egresos</t>
  </si>
  <si>
    <t xml:space="preserve">INFORME DE AVANCE DE GESTIÓN </t>
  </si>
  <si>
    <t>FINANCIERA</t>
  </si>
  <si>
    <t>Clave:</t>
  </si>
  <si>
    <t>Ente Fiscalizado:</t>
  </si>
  <si>
    <t>Municipio de San Francisco de los Romo</t>
  </si>
  <si>
    <t>Período:</t>
  </si>
  <si>
    <t>INGRESOS</t>
  </si>
  <si>
    <t>CUENTA</t>
  </si>
  <si>
    <t>MES</t>
  </si>
  <si>
    <t>ACUMULADO TRIMESTRAL</t>
  </si>
  <si>
    <t>%</t>
  </si>
  <si>
    <t>ACUMULADO DEL EJERCICIO</t>
  </si>
  <si>
    <t>CLAVE</t>
  </si>
  <si>
    <t>NOMBRE</t>
  </si>
  <si>
    <t>REAL</t>
  </si>
  <si>
    <t>PRESUPUESTO PROGRAMADO</t>
  </si>
  <si>
    <t>EFICIENCIA TRIMESTRAL</t>
  </si>
  <si>
    <t>TOTAL</t>
  </si>
  <si>
    <t>EGRESOS</t>
  </si>
  <si>
    <t>EGRESOS POR PROGRAMAS</t>
  </si>
  <si>
    <t>EFICIENCIA DEL EJERCICIO</t>
  </si>
  <si>
    <t>F003</t>
  </si>
  <si>
    <t>F005</t>
  </si>
  <si>
    <t>F013</t>
  </si>
  <si>
    <t>F016</t>
  </si>
  <si>
    <t>F017</t>
  </si>
  <si>
    <t>F018</t>
  </si>
  <si>
    <t>F019</t>
  </si>
  <si>
    <t>F022</t>
  </si>
  <si>
    <t>F023</t>
  </si>
  <si>
    <t>F024</t>
  </si>
  <si>
    <t>F025</t>
  </si>
  <si>
    <t>F026</t>
  </si>
  <si>
    <t>F027</t>
  </si>
  <si>
    <t>F029</t>
  </si>
  <si>
    <t>F031</t>
  </si>
  <si>
    <t>F032</t>
  </si>
  <si>
    <t>J001</t>
  </si>
  <si>
    <t>PENSIONES Y JUBILACIONES</t>
  </si>
  <si>
    <t>K006</t>
  </si>
  <si>
    <t>K007</t>
  </si>
  <si>
    <t>K008</t>
  </si>
  <si>
    <t>L001</t>
  </si>
  <si>
    <t>Fortalecimiento de las capacidades de evaluación en control de confianza</t>
  </si>
  <si>
    <t>S002</t>
  </si>
  <si>
    <t>S006</t>
  </si>
  <si>
    <t>S007</t>
  </si>
  <si>
    <t>S008</t>
  </si>
  <si>
    <t>T001</t>
  </si>
  <si>
    <t>S005</t>
  </si>
  <si>
    <t>4111</t>
  </si>
  <si>
    <t>4112</t>
  </si>
  <si>
    <t>4113</t>
  </si>
  <si>
    <t>4117</t>
  </si>
  <si>
    <t>4143</t>
  </si>
  <si>
    <t>4151</t>
  </si>
  <si>
    <t>4211</t>
  </si>
  <si>
    <t>4212</t>
  </si>
  <si>
    <t>4213</t>
  </si>
  <si>
    <t>4214</t>
  </si>
  <si>
    <t>IMPUESTOS SOBRE LOS INGRESOS</t>
  </si>
  <si>
    <t>IMPUESTOS SOBRE EL PATRIMONIO</t>
  </si>
  <si>
    <t>IMPUESTOS SOBRE LA PRODUCCIÓN, EL CONSUMO Y LAS TRANSACCIONES</t>
  </si>
  <si>
    <t>ACCESORIOS DE IMPUESTOS</t>
  </si>
  <si>
    <t>DERECHOS POR PRESTACIÓN DE SERVICIOS</t>
  </si>
  <si>
    <t>ACCESORIOS DE DERECHOS</t>
  </si>
  <si>
    <t>PARTICIPACIONES</t>
  </si>
  <si>
    <t>APORTACIONES</t>
  </si>
  <si>
    <t>CONVENIOS</t>
  </si>
  <si>
    <t>INCENTIVOS DERIVADOS DE LA COLABORACIÓN FISCAL</t>
  </si>
  <si>
    <t>5111</t>
  </si>
  <si>
    <t>5113</t>
  </si>
  <si>
    <t>5114</t>
  </si>
  <si>
    <t>5115</t>
  </si>
  <si>
    <t>5121</t>
  </si>
  <si>
    <t>5122</t>
  </si>
  <si>
    <t>5124</t>
  </si>
  <si>
    <t>5126</t>
  </si>
  <si>
    <t>5127</t>
  </si>
  <si>
    <t>5129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</si>
  <si>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</si>
  <si>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</si>
  <si>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</si>
  <si>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</si>
  <si>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</si>
  <si>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</si>
  <si>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</si>
  <si>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</si>
  <si>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</si>
  <si>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</si>
  <si>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</si>
  <si>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</si>
  <si>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</si>
  <si>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</si>
  <si>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</si>
  <si>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</si>
  <si>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COMBUSTIBLES, LUBRICANTES Y ADITIVOS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</si>
  <si>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</si>
  <si>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</si>
  <si>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</si>
  <si>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</si>
  <si>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</si>
  <si>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</si>
  <si>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</si>
  <si>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</si>
  <si>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</si>
  <si>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</si>
  <si>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</si>
  <si>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CONTRIBUCCIONES Y MEJORAS  POR OBRAS PUBLICAS</t>
  </si>
  <si>
    <t>MATERIAS PRIMAS Y MATERIALES DE PRODUCCIÓN Y COMERCIALIZACIÓN</t>
  </si>
  <si>
    <t>PRODUCTOS QUÍMICOS, FARMACÉUTICOS Y DE LABORATORIO</t>
  </si>
  <si>
    <t>MATERIALES Y SUMINISTROS PARA SEGURIDAD</t>
  </si>
  <si>
    <t>TRANSFERENCIAS INTERNAS Y ASIGNACIONES AL SECTOR PÚBLICO</t>
  </si>
  <si>
    <t>AYUDAS SOCIALES</t>
  </si>
  <si>
    <t>OBRA PÚBLICA EN BIENES DE DOMINIO PÚBLICO</t>
  </si>
  <si>
    <t>E008</t>
  </si>
  <si>
    <t>E012</t>
  </si>
  <si>
    <t>F009</t>
  </si>
  <si>
    <t>F012</t>
  </si>
  <si>
    <t>F015</t>
  </si>
  <si>
    <t>F020</t>
  </si>
  <si>
    <t>F021</t>
  </si>
  <si>
    <t>F028</t>
  </si>
  <si>
    <t>F030</t>
  </si>
  <si>
    <t>K004</t>
  </si>
  <si>
    <t>R073</t>
  </si>
  <si>
    <t>R076</t>
  </si>
  <si>
    <t>R090</t>
  </si>
  <si>
    <t>R091</t>
  </si>
  <si>
    <t>R092</t>
  </si>
  <si>
    <t>R093</t>
  </si>
  <si>
    <t>R094</t>
  </si>
  <si>
    <t>R095</t>
  </si>
  <si>
    <t>R114</t>
  </si>
  <si>
    <t>R115</t>
  </si>
  <si>
    <t>R116</t>
  </si>
  <si>
    <t>R117</t>
  </si>
  <si>
    <t>R118</t>
  </si>
  <si>
    <t>R120</t>
  </si>
  <si>
    <t>R121</t>
  </si>
  <si>
    <t>R122</t>
  </si>
  <si>
    <t>R123</t>
  </si>
  <si>
    <t>S001</t>
  </si>
  <si>
    <t>S003</t>
  </si>
  <si>
    <t>DIRECTORA DE FINANZAS Y ADMINISTRACION</t>
  </si>
  <si>
    <t>SINDICO MUNICIPAL</t>
  </si>
  <si>
    <t>E009</t>
  </si>
  <si>
    <t>E010</t>
  </si>
  <si>
    <t>E011</t>
  </si>
  <si>
    <t>K009</t>
  </si>
  <si>
    <t>K010</t>
  </si>
  <si>
    <t>K011</t>
  </si>
  <si>
    <t>K012</t>
  </si>
  <si>
    <t>K013</t>
  </si>
  <si>
    <t>K014</t>
  </si>
  <si>
    <t>K015</t>
  </si>
  <si>
    <t>K016</t>
  </si>
  <si>
    <t>R072</t>
  </si>
  <si>
    <t>R077</t>
  </si>
  <si>
    <t>R078</t>
  </si>
  <si>
    <t>R082</t>
  </si>
  <si>
    <t>R085</t>
  </si>
  <si>
    <t>R086</t>
  </si>
  <si>
    <t>R087</t>
  </si>
  <si>
    <t>R088</t>
  </si>
  <si>
    <t>R089</t>
  </si>
  <si>
    <t>R096</t>
  </si>
  <si>
    <t>R097</t>
  </si>
  <si>
    <t>R098</t>
  </si>
  <si>
    <t>R099</t>
  </si>
  <si>
    <t>R100</t>
  </si>
  <si>
    <t>R101</t>
  </si>
  <si>
    <t>R102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</si>
  <si>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</si>
  <si>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</si>
  <si>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</si>
  <si>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</si>
  <si>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</si>
  <si>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</si>
  <si>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</si>
  <si>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</si>
  <si>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</si>
  <si>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</si>
  <si>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R124</t>
  </si>
  <si>
    <t>PRODUCTOS</t>
  </si>
  <si>
    <t>PRODUCTOS NO COMPRENDIDOS EN LA LEY DE INGRESOS</t>
  </si>
  <si>
    <t>ACCESORIOS DE APROVECHAMIENTOS</t>
  </si>
  <si>
    <t>APROVECHAMIENTOS NO COMPRENDIDOS EN LA LEY DE INGRESOS</t>
  </si>
  <si>
    <t xml:space="preserve">DERECHOS POR EL USO, GOCE, APROVECHAMIENTO  O EXPLOTACION  O BIENES DE DOMINIO PUBLICO </t>
  </si>
  <si>
    <t>OTROS APROVECHAMIENTOS</t>
  </si>
  <si>
    <t>MULTAS</t>
  </si>
  <si>
    <t>TRANSFERENCIAS  INTERNAS ASIGNACIONES DEL SECTOR  PUBLICO</t>
  </si>
  <si>
    <t>OPERACIÓN ADMINISTRATIVA</t>
  </si>
  <si>
    <t>MODERNIZACION DE INFRAESTRUCTURA Y SERVICIO DE PANTEONES</t>
  </si>
  <si>
    <t>CONSTRUCCION DE GAVETAS PARA RENTA</t>
  </si>
  <si>
    <t>INSPECCION Y CONTROL DE LA CONTAMINACION</t>
  </si>
  <si>
    <t>E013</t>
  </si>
  <si>
    <t>E014</t>
  </si>
  <si>
    <t>DIA MUNDIAL DEL MEDIO AMBIENTE</t>
  </si>
  <si>
    <t>E015</t>
  </si>
  <si>
    <t>LIMPIEMOS NUESTRO MEXICO</t>
  </si>
  <si>
    <t>ANIVERSARIO DEL MUNICIPIO</t>
  </si>
  <si>
    <t>DIA DE REYES</t>
  </si>
  <si>
    <t>DIA DEL ABUELO</t>
  </si>
  <si>
    <t>ANIVERSARIO DEL CLUB MADUREZ FELIZ</t>
  </si>
  <si>
    <t>F010</t>
  </si>
  <si>
    <t>FIESTAS PATRIAS</t>
  </si>
  <si>
    <t>LIGAS MUNICIPALES</t>
  </si>
  <si>
    <t>TORNEOS NACIONALES</t>
  </si>
  <si>
    <t>FESTIVAL DE LAS CARNITAS</t>
  </si>
  <si>
    <t>FESTIVAL DE CALAVERAS</t>
  </si>
  <si>
    <t>FIESTAS PATRONALES</t>
  </si>
  <si>
    <t>OBLIGACIONES DE CUMPLIMIENTO DE RESOLUCION JURISDICCIONAL</t>
  </si>
  <si>
    <t>TRANSVERSALIZACION</t>
  </si>
  <si>
    <t>8 DE MARZO DIA INTERNACIONAL DE LA MUJER</t>
  </si>
  <si>
    <t>INSTITUCIONALIZACION</t>
  </si>
  <si>
    <t>R081</t>
  </si>
  <si>
    <t>R083</t>
  </si>
  <si>
    <t>EVENTO POSADA</t>
  </si>
  <si>
    <t>FERIAS DE EMPLEO</t>
  </si>
  <si>
    <t>SEGURIDAD PUBLICA</t>
  </si>
  <si>
    <t>COPARTICIPACION</t>
  </si>
  <si>
    <t>ARREGLOS FUNERARIOS</t>
  </si>
  <si>
    <t>APORTACIONES A LA SEGURIDAD SOCIAL</t>
  </si>
  <si>
    <t>MAQUINARIA, OTROS EQUIPOS Y HERRAMIENTAS</t>
  </si>
  <si>
    <t>E016</t>
  </si>
  <si>
    <t>E017</t>
  </si>
  <si>
    <t>E018</t>
  </si>
  <si>
    <t>R103</t>
  </si>
  <si>
    <t>MOBILIARIO Y EQUIPO DE ADMINISTRACION</t>
  </si>
  <si>
    <t>E019</t>
  </si>
  <si>
    <t>TEC. JUAN JOSE LOSOYA PONCE</t>
  </si>
  <si>
    <t>PRESIDENTE MUNICIPAL</t>
  </si>
  <si>
    <t>IFF IMELDA ENCINA DE LA ROSA</t>
  </si>
  <si>
    <t>LIC. MARIA EDITH ROSALES LUNA</t>
  </si>
  <si>
    <t>LIC. MARIA EDITH ROSALES DE LUNA</t>
  </si>
  <si>
    <t>E021</t>
  </si>
  <si>
    <t>GIRA NAVIDEÑA</t>
  </si>
  <si>
    <t>MOBILIARIO Y EQUIPO EDUCACIONAL Y RECREATIVO</t>
  </si>
  <si>
    <t>MEJORA Y ADQUISICION INTEGRAL A CONTENEDORES DEL MUNICIPIO</t>
  </si>
  <si>
    <t>EQUIPAMIENTO DE PERSONAL OPERATIVO</t>
  </si>
  <si>
    <t>LIMPIANDO MI AVENIDA</t>
  </si>
  <si>
    <t>MODERNIZACION DEL SERVICIO E INFRAESTRUCTURA DE ALUMBRADO PUBLICO</t>
  </si>
  <si>
    <t>REHABILITACION DE ILUMINACION DE LOS PARQUES DE BEISBOL DE MACARIO J. GOMEZ Y PUERTECITO DE LA VIRGEN</t>
  </si>
  <si>
    <t>AMPLIACION DE ALUMBRADO PUBLICO (POSTES, CABLES Y LUMINARIAS)</t>
  </si>
  <si>
    <t>EQUIPAMIENTO DE PROTECCION PARA EL PERSONAL OPERATIVO</t>
  </si>
  <si>
    <t>REMODELACION DEL SISTEMA ELECTRICO DE EDIFICIOS MUNICIPALES</t>
  </si>
  <si>
    <t>BIENESTAR ANIMAL</t>
  </si>
  <si>
    <t>E020</t>
  </si>
  <si>
    <t>VIVERO MUNICIPAL</t>
  </si>
  <si>
    <t>PLANTO MI FUTURO</t>
  </si>
  <si>
    <t>E022</t>
  </si>
  <si>
    <t>E023</t>
  </si>
  <si>
    <t>E024</t>
  </si>
  <si>
    <t>DIA DEL AMOR Y LA AMISTAD</t>
  </si>
  <si>
    <t>DIA DE MUERTOS</t>
  </si>
  <si>
    <t>JUEGOS DEPORTIVOS Y CULTURALES DE PERSONAS CON CAPACIDADES ESPECIALES</t>
  </si>
  <si>
    <t>ESCUELAS DE INICIACION DEPORTIVA</t>
  </si>
  <si>
    <t>CURSO DE VERANO</t>
  </si>
  <si>
    <t>HONORES A LA BANDERA</t>
  </si>
  <si>
    <t>DESFILES CONMEMORATIVOS</t>
  </si>
  <si>
    <t>IMPULSO A GRUPOS DE DANZA FOLCLORICA</t>
  </si>
  <si>
    <t>DOMINGOS CULTURALES</t>
  </si>
  <si>
    <t>ENCUENTRO DE MATLACHINES</t>
  </si>
  <si>
    <t>CONOCE SAN PANCHO</t>
  </si>
  <si>
    <t>SABOR A CARNITAS, SABOR A SAN PANCHO</t>
  </si>
  <si>
    <t>FERIA REGIONAL DE SAN FRANCISCO DE LOS ROMO</t>
  </si>
  <si>
    <t>PROYECTOS DE INVERSION PUBLICA FONDO RESARCITORIO</t>
  </si>
  <si>
    <t>K001</t>
  </si>
  <si>
    <t>INFORME</t>
  </si>
  <si>
    <t>APOYO ACADEMICO</t>
  </si>
  <si>
    <t>REPOSICION DE ACTIVO FIJO</t>
  </si>
  <si>
    <t>BRIGADAS POR LA SALUD</t>
  </si>
  <si>
    <t>ORIENTACION ALIMENTARIA</t>
  </si>
  <si>
    <t>COMEDOR EN CASA</t>
  </si>
  <si>
    <t>ADMINISTRATIVO</t>
  </si>
  <si>
    <t>REHABILITANDO DE CORAZON</t>
  </si>
  <si>
    <t>PROGRAMA DE ATENCION AL ADULTO MAYOR</t>
  </si>
  <si>
    <t>PROGRAMA APRENDIENDO A ENVEJECER</t>
  </si>
  <si>
    <t>PROGRAMA ENVEJECIENDO POSITIVO</t>
  </si>
  <si>
    <t>PROGRAMA DE DESARROLLO DE HABILIDADES</t>
  </si>
  <si>
    <t>CAPACITACION PARA ENCARGADAS DE INAPAM</t>
  </si>
  <si>
    <t>ADMINISTRATIVO DE TALLERES</t>
  </si>
  <si>
    <t>GESTION Y VINCULACION CON EMPRESAS</t>
  </si>
  <si>
    <t>ADMINISTRATIVO DE VINCULACION</t>
  </si>
  <si>
    <t>EL D.I.F. TE ASESORA EN ATENCION JURIDICA</t>
  </si>
  <si>
    <t>PROGRAMA DE DEFENSA DE LOS DERECHOS DE LAS NIÑAS</t>
  </si>
  <si>
    <t>MOVIENDO AMOR</t>
  </si>
  <si>
    <t>CAMINANDO JUNTOS</t>
  </si>
  <si>
    <t>COMPROMISO CON LA SALUD</t>
  </si>
  <si>
    <t>COMPROMISO CON LA INCLUSION</t>
  </si>
  <si>
    <t>CUIDANDO A SAN FRANCISCO</t>
  </si>
  <si>
    <t>PROGRAMA DE ATENCION PSICOLOGICA</t>
  </si>
  <si>
    <t>PROGRAMA DE ATENCION A MENORES Y PERSONAS EN RIESGO</t>
  </si>
  <si>
    <t>PROGRAMA ABRE LOS OJOS</t>
  </si>
  <si>
    <t>ADMINISTRATIVO DE PSICOLOGIA</t>
  </si>
  <si>
    <t>DIFUSION INSTITUCIONAL</t>
  </si>
  <si>
    <t>SEÑALETICA TURISTICA</t>
  </si>
  <si>
    <t>IMAGEN URBANA</t>
  </si>
  <si>
    <t>CAPACITACION TURISTICA</t>
  </si>
  <si>
    <t>CONSEJO MUNICIPAL DE SALUD</t>
  </si>
  <si>
    <t>SEMANAS DE SALUD</t>
  </si>
  <si>
    <t>CAMPAÑA AUDITIVA</t>
  </si>
  <si>
    <t>TEMPORADA DE INCENDIOS</t>
  </si>
  <si>
    <t>TEMPORADA DE LLUVIAS</t>
  </si>
  <si>
    <t>FESTIVIDADES</t>
  </si>
  <si>
    <t>SEGURIDAD E HIGIENE</t>
  </si>
  <si>
    <t>ACTUALIZACION Y GENERACION DE CARTOGRAFIA</t>
  </si>
  <si>
    <t>ACTUALIZACION DE INSTRUMENTOS DE PLANEACION</t>
  </si>
  <si>
    <t>ORDENAMENTO DE USO DE SUELO</t>
  </si>
  <si>
    <t>R126</t>
  </si>
  <si>
    <t>R127</t>
  </si>
  <si>
    <t>R129</t>
  </si>
  <si>
    <t>FORTALECIMIENTO INSTITUCIONAL PARA LA IGUALDAD DE LAS MUJERES</t>
  </si>
  <si>
    <t>R131</t>
  </si>
  <si>
    <t>ESTIMULOS A LA EDUCACION BASICA</t>
  </si>
  <si>
    <t>BECAS MUNICIPALES</t>
  </si>
  <si>
    <t>APOYO ALIMENTARIO A FAMILIAS</t>
  </si>
  <si>
    <t>PROGRAMAS PRODUCTIVOS AGROPECUARIOS Y GANADEROS</t>
  </si>
  <si>
    <t>IMPULSO AL COMERCIO</t>
  </si>
  <si>
    <t>PROGRAMA DE ASISTENCIA SOCIAL ALIMENTARIA</t>
  </si>
  <si>
    <t>AYUDAS Y SUBSIDIOS</t>
  </si>
  <si>
    <t>VEHICULOS Y EQUIPO DE TRANSPORTE TERRESTRE</t>
  </si>
  <si>
    <t>R134</t>
  </si>
  <si>
    <t>R135</t>
  </si>
  <si>
    <t>R136</t>
  </si>
  <si>
    <t>AMPLIACION DE LOS ESPACIOS EN MATERIA DE RECAUDACION</t>
  </si>
  <si>
    <t>CONTRIBUYENTE CUMPLIDO</t>
  </si>
  <si>
    <t>UNIDADES EXTERNAS DE SUPERVISION</t>
  </si>
  <si>
    <t>SUBSIDIOS Y SUBVENCIONES</t>
  </si>
  <si>
    <t>EQUIPO DE DEFENSA Y SEGURIDAD</t>
  </si>
  <si>
    <t>OBRA PÚBLICA EN BIENES PROPIOS</t>
  </si>
  <si>
    <t>MALLAS CICLONICAS EN EL TEPETATE Y LA GUAYANA</t>
  </si>
  <si>
    <t>PROGRAMA DE BACHEO EN TODO EL MUNICIPIO</t>
  </si>
  <si>
    <t>R137</t>
  </si>
  <si>
    <t>R138</t>
  </si>
  <si>
    <t>R139</t>
  </si>
  <si>
    <t>R140</t>
  </si>
  <si>
    <t>R141</t>
  </si>
  <si>
    <t>RED NACIONAL DE RADIOCOMUNICACION</t>
  </si>
  <si>
    <t>R142</t>
  </si>
  <si>
    <t>R143</t>
  </si>
  <si>
    <t>R144</t>
  </si>
  <si>
    <t>DIFUSION E IMAGEN TURISTICA</t>
  </si>
  <si>
    <t>PROGRAMA TERRITORIAL DE ORDENAMIENTO DE CIUDADES DE MAS DE 50,000 HABITANTES</t>
  </si>
  <si>
    <t>S009</t>
  </si>
  <si>
    <t>K017</t>
  </si>
  <si>
    <t>K018</t>
  </si>
  <si>
    <t>K019</t>
  </si>
  <si>
    <t>K020</t>
  </si>
  <si>
    <t>K021</t>
  </si>
  <si>
    <t>K022</t>
  </si>
  <si>
    <t>K023</t>
  </si>
  <si>
    <t>K024</t>
  </si>
  <si>
    <t>K025</t>
  </si>
  <si>
    <t>K026</t>
  </si>
  <si>
    <t>K027</t>
  </si>
  <si>
    <t>K028</t>
  </si>
  <si>
    <t>K029</t>
  </si>
  <si>
    <t>K030</t>
  </si>
  <si>
    <t>K031</t>
  </si>
  <si>
    <t>K032</t>
  </si>
  <si>
    <t>K033</t>
  </si>
  <si>
    <t>K034</t>
  </si>
  <si>
    <t>K035</t>
  </si>
  <si>
    <t>K036</t>
  </si>
  <si>
    <t>REHABILITACION DE PARQUES DE BEISBOL</t>
  </si>
  <si>
    <t>SEÑALAMIENTO VERTICAL Y HORIZONTAL EN PASO A DESNIVEL</t>
  </si>
  <si>
    <t>REHABILITACION DE COMANDANCIA</t>
  </si>
  <si>
    <t>REHABILITACION DE RED SANITARIA SOBRE LA CALLE ALDAMA NORTE</t>
  </si>
  <si>
    <t>REHABILITACION DE RED HIDRAULICA SOBRE LA CALLE ALDAMA NORTE</t>
  </si>
  <si>
    <t>REHABILITACION DE RED SANITARIA SOBRE LA CALLE JOSE MARIA CHAVEZ</t>
  </si>
  <si>
    <t>REHABILITACION DE RED HIDRAULICA SOBRE LA CALLE JOSE MARIA CHAVEZ</t>
  </si>
  <si>
    <t>REHABILITACION DE RED SANITARIA SOBRE LA CALLE EMILIO CARRANZA</t>
  </si>
  <si>
    <t>REHABILITACION DE RED HIDRAULICA SOBRE LA CALLE EMILIO CARRANZA</t>
  </si>
  <si>
    <t>REHABILITACION DE RED SANITARIA SOBRE LA CALLE ALAMO</t>
  </si>
  <si>
    <t>REHABILITACION DE RED HIDRAULICA SOBRE LA CALLE MADERO</t>
  </si>
  <si>
    <t>RED DE ALCANTARILLADO EN CALLE INDEPENDENCIA, EN LA GUAYANA</t>
  </si>
  <si>
    <t>RED DE AGUA POTABLE EN CALLE INDEPENDENCIA, EN LA GUAYANA</t>
  </si>
  <si>
    <t>SUMINISTRO DE ENERGIA ELECTRICA EN LA ESCONDIDA</t>
  </si>
  <si>
    <t>SUMINISTRO DE ENERGIA ELECTRICA EN PUERTECITO DE LA VIRGEN</t>
  </si>
  <si>
    <t>SUMINISTRO DE ENERGIA ELECTRICA EN EJIDO LA GUAYANA</t>
  </si>
  <si>
    <t>SUMINISTRO DE ENERGIA ELECTRICA EN LORETITO</t>
  </si>
  <si>
    <t>SUMINISTRO DE ENERGIA ELECTRICA EN COLONIA FRATERNIDAD</t>
  </si>
  <si>
    <t>URBANIZACION GUARNICIONES Y BANQUETAS VARIAS CALLES LA CONCEPCION</t>
  </si>
  <si>
    <t>URBANIZACION PAVIMENTOS Y BANQUETAS EN CALLE INDEPENDENCIA EN LA GUAYANA</t>
  </si>
  <si>
    <t>TECHADO EN E.P. No. 85, URBI VILLAS</t>
  </si>
  <si>
    <t>TECHADO EN T.V. DE LORETITO</t>
  </si>
  <si>
    <t>TECHADO EN J.N. CELESTINO FREINET, LA GUAYANA</t>
  </si>
  <si>
    <t>R145</t>
  </si>
  <si>
    <t>R146</t>
  </si>
  <si>
    <t>PROGRAMA DE DESARROLLO INSTITUCIONAL</t>
  </si>
  <si>
    <t>S010</t>
  </si>
  <si>
    <t>S011</t>
  </si>
  <si>
    <t>S012</t>
  </si>
  <si>
    <t>CALENTADORES SOLARES</t>
  </si>
  <si>
    <t>ACCIONES DE MEJORAMIENTO A LA VIVIENDA</t>
  </si>
  <si>
    <t>CALENTADORES SOLARES FISM</t>
  </si>
  <si>
    <t>GASTOS INDIRECTOS</t>
  </si>
  <si>
    <t>Julio-Septiembre 2020</t>
  </si>
  <si>
    <t>JULIO</t>
  </si>
  <si>
    <t>AGOSTO</t>
  </si>
  <si>
    <t>SEPTIEMBRE</t>
  </si>
  <si>
    <t>K037</t>
  </si>
  <si>
    <t>K038</t>
  </si>
  <si>
    <t>REHABILITACION DE UNIDAD DEPORTIVA LA RIBERA, FRACC. LA RIBERA, PRIMERA ETAPA</t>
  </si>
  <si>
    <t>K040</t>
  </si>
  <si>
    <t>PORTICO TELESECUNDARIA #179 QUETZALCOATL, COLONIA 28 DE ABRIL</t>
  </si>
  <si>
    <t>REFORESTACION DEL CAMELLON CENTRAL, AV.  MEXICO</t>
  </si>
  <si>
    <t>K041</t>
  </si>
  <si>
    <t>PROYECTO INTEGRAL DE ALUMBRADO PUBLICO, ECOLOGICO, DE EFICIENCIA Y AHORRO ENERGETICO</t>
  </si>
  <si>
    <t>PROYECTOS DE INVERSION PUBLICA, PARTICIPACIONES FEDERALES, REMANENTE DEL EJERCICIO 2019</t>
  </si>
  <si>
    <t>Construcción de techumbre en parque La Guayana</t>
  </si>
  <si>
    <t>Rehabilitación de alcantarillado y agua potable en varias calles de la Cabecera Municipal</t>
  </si>
  <si>
    <t>Rehabilitación de la Av. Juárez, zona comercial</t>
  </si>
  <si>
    <t>REMODELACION DE BAÑOS, PLANTA ALTA, EN EDIFICIO DE PRESIDENCIA MUNICIPAL</t>
  </si>
  <si>
    <t>REHABILITACION DE ALCANTARILLADO Y DESCARGAS DOMICILIARIAS EN CALLE 2 DE ABRIL</t>
  </si>
  <si>
    <t>CONSTRUCCION DE ESPACIO MULTIDEPORTIVA, EN OJO DE AGUA DEL MEZQUITE, PRIMERA ETAPA</t>
  </si>
  <si>
    <t>DIA DEL SERVIDOR PUBLICO</t>
  </si>
  <si>
    <t>Equipamiento de las instituciones de seguridad pública</t>
  </si>
  <si>
    <t>Prevención social de la violencia y de la delincuencia con participación social</t>
  </si>
  <si>
    <t>Profesionalización y capacitación de los elementos policiales de seguridad pública</t>
  </si>
  <si>
    <t>ADQUISICION DE MATERIALES DE LIMPIEZA PARA HACER FRENTE A LA CONTINGENCIA SANITARIA DEL COVID-19</t>
  </si>
  <si>
    <t>PROGRAMA DE APOYO A COMERCIANTES DE LA ZONA COMERCIAL DE LA AV. JUAREZ, POR CONTINGENCIA SANITARIA DEL COVID-19</t>
  </si>
  <si>
    <t>Construcción de pórtico y reja perimetral en E.P. Nicolás Bravo, en La Escondida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</si>
</sst>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thick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ck">
        <color indexed="64"/>
      </right>
      <top/>
      <bottom style="thick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ck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3" fillId="0" borderId="33" xfId="0" applyFont="1" applyBorder="1"/>
    <xf numFmtId="0" fontId="3" fillId="0" borderId="34" xfId="0" applyFont="1" applyBorder="1"/>
    <xf numFmtId="0" fontId="7" fillId="0" borderId="34" xfId="0" applyFont="1" applyBorder="1"/>
    <xf numFmtId="0" fontId="3" fillId="0" borderId="35" xfId="0" applyFont="1" applyBorder="1"/>
    <xf numFmtId="0" fontId="3" fillId="0" borderId="38" xfId="0" applyFont="1" applyBorder="1"/>
    <xf numFmtId="43" fontId="3" fillId="0" borderId="0" xfId="0" applyNumberFormat="1" applyFont="1"/>
    <xf numFmtId="43" fontId="3" fillId="0" borderId="0" xfId="1" applyFont="1"/>
    <xf numFmtId="44" fontId="2" fillId="0" borderId="9" xfId="2" applyFont="1" applyBorder="1"/>
    <xf numFmtId="44" fontId="2" fillId="0" borderId="19" xfId="2" applyFont="1" applyBorder="1"/>
    <xf numFmtId="44" fontId="2" fillId="0" borderId="21" xfId="2" applyFont="1" applyBorder="1"/>
    <xf numFmtId="43" fontId="2" fillId="0" borderId="36" xfId="0" applyNumberFormat="1" applyFont="1" applyBorder="1"/>
    <xf numFmtId="43" fontId="2" fillId="0" borderId="15" xfId="0" applyNumberFormat="1" applyFont="1" applyBorder="1"/>
    <xf numFmtId="0" fontId="2" fillId="0" borderId="20" xfId="0" applyFont="1" applyBorder="1"/>
    <xf numFmtId="0" fontId="2" fillId="0" borderId="0" xfId="0" applyFont="1"/>
    <xf numFmtId="44" fontId="2" fillId="0" borderId="25" xfId="2" applyFont="1" applyBorder="1"/>
    <xf numFmtId="44" fontId="2" fillId="0" borderId="38" xfId="2" applyFont="1" applyFill="1" applyBorder="1"/>
    <xf numFmtId="44" fontId="2" fillId="0" borderId="27" xfId="2" applyFont="1" applyBorder="1"/>
    <xf numFmtId="44" fontId="2" fillId="0" borderId="0" xfId="2" applyFont="1"/>
    <xf numFmtId="44" fontId="2" fillId="0" borderId="28" xfId="2" applyFont="1" applyBorder="1"/>
    <xf numFmtId="44" fontId="2" fillId="0" borderId="18" xfId="2" applyFont="1" applyBorder="1"/>
    <xf numFmtId="44" fontId="2" fillId="0" borderId="31" xfId="2" applyFont="1" applyBorder="1"/>
    <xf numFmtId="0" fontId="2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10" fontId="2" fillId="0" borderId="30" xfId="0" applyNumberFormat="1" applyFont="1" applyBorder="1"/>
    <xf numFmtId="44" fontId="9" fillId="0" borderId="0" xfId="0" applyNumberFormat="1" applyFont="1"/>
    <xf numFmtId="10" fontId="2" fillId="0" borderId="32" xfId="0" applyNumberFormat="1" applyFont="1" applyBorder="1"/>
    <xf numFmtId="44" fontId="9" fillId="0" borderId="9" xfId="2" applyFont="1" applyBorder="1"/>
    <xf numFmtId="44" fontId="9" fillId="0" borderId="25" xfId="2" applyFont="1" applyBorder="1"/>
    <xf numFmtId="43" fontId="9" fillId="0" borderId="36" xfId="0" applyNumberFormat="1" applyFont="1" applyBorder="1"/>
    <xf numFmtId="43" fontId="9" fillId="0" borderId="15" xfId="0" applyNumberFormat="1" applyFont="1" applyBorder="1"/>
    <xf numFmtId="44" fontId="9" fillId="0" borderId="35" xfId="2" applyFont="1" applyBorder="1"/>
    <xf numFmtId="44" fontId="9" fillId="0" borderId="26" xfId="2" applyFont="1" applyBorder="1"/>
    <xf numFmtId="44" fontId="9" fillId="0" borderId="10" xfId="2" applyFont="1" applyBorder="1"/>
    <xf numFmtId="44" fontId="9" fillId="0" borderId="38" xfId="2" applyFont="1" applyBorder="1"/>
    <xf numFmtId="0" fontId="9" fillId="0" borderId="0" xfId="0" applyFont="1"/>
    <xf numFmtId="44" fontId="6" fillId="0" borderId="28" xfId="2" applyFont="1" applyBorder="1"/>
    <xf numFmtId="44" fontId="6" fillId="0" borderId="29" xfId="2" applyFont="1" applyBorder="1"/>
    <xf numFmtId="44" fontId="2" fillId="0" borderId="0" xfId="2" applyFont="1" applyBorder="1"/>
    <xf numFmtId="43" fontId="2" fillId="0" borderId="0" xfId="0" applyNumberFormat="1" applyFont="1" applyBorder="1"/>
    <xf numFmtId="44" fontId="2" fillId="0" borderId="0" xfId="0" applyNumberFormat="1" applyFont="1" applyBorder="1"/>
    <xf numFmtId="10" fontId="2" fillId="0" borderId="0" xfId="0" applyNumberFormat="1" applyFont="1" applyBorder="1"/>
    <xf numFmtId="44" fontId="3" fillId="0" borderId="0" xfId="0" applyNumberFormat="1" applyFont="1"/>
    <xf numFmtId="44" fontId="9" fillId="0" borderId="0" xfId="2" applyFont="1"/>
    <xf numFmtId="43" fontId="9" fillId="0" borderId="36" xfId="0" applyNumberFormat="1" applyFont="1" applyBorder="1" applyAlignment="1"/>
    <xf numFmtId="0" fontId="3" fillId="0" borderId="10" xfId="0" applyFont="1" applyFill="1" applyBorder="1"/>
    <xf numFmtId="44" fontId="2" fillId="0" borderId="10" xfId="2" applyFont="1" applyFill="1" applyBorder="1"/>
    <xf numFmtId="44" fontId="2" fillId="0" borderId="39" xfId="2" applyFont="1" applyFill="1" applyBorder="1"/>
    <xf numFmtId="43" fontId="2" fillId="0" borderId="36" xfId="0" applyNumberFormat="1" applyFont="1" applyFill="1" applyBorder="1"/>
    <xf numFmtId="164" fontId="6" fillId="0" borderId="29" xfId="2" applyNumberFormat="1" applyFont="1" applyBorder="1"/>
    <xf numFmtId="44" fontId="2" fillId="0" borderId="40" xfId="2" applyFont="1" applyBorder="1"/>
    <xf numFmtId="44" fontId="2" fillId="0" borderId="42" xfId="2" applyFont="1" applyBorder="1"/>
    <xf numFmtId="44" fontId="2" fillId="0" borderId="41" xfId="2" applyFont="1" applyBorder="1"/>
    <xf numFmtId="44" fontId="3" fillId="0" borderId="0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4" fontId="6" fillId="0" borderId="0" xfId="2" applyFont="1" applyBorder="1"/>
    <xf numFmtId="164" fontId="6" fillId="0" borderId="0" xfId="2" applyNumberFormat="1" applyFont="1" applyBorder="1"/>
    <xf numFmtId="2" fontId="2" fillId="0" borderId="0" xfId="0" applyNumberFormat="1" applyFont="1" applyBorder="1"/>
    <xf numFmtId="0" fontId="4" fillId="0" borderId="0" xfId="0" applyFont="1" applyBorder="1" applyAlignment="1">
      <alignment horizontal="left" vertical="center" wrapText="1"/>
    </xf>
    <xf numFmtId="44" fontId="2" fillId="0" borderId="43" xfId="2" applyFont="1" applyBorder="1"/>
    <xf numFmtId="49" fontId="3" fillId="0" borderId="37" xfId="0" applyNumberFormat="1" applyFont="1" applyFill="1" applyBorder="1" applyAlignment="1">
      <alignment horizontal="left"/>
    </xf>
    <xf numFmtId="0" fontId="3" fillId="0" borderId="38" xfId="0" applyFont="1" applyFill="1" applyBorder="1"/>
    <xf numFmtId="44" fontId="2" fillId="0" borderId="35" xfId="2" applyFont="1" applyFill="1" applyBorder="1"/>
    <xf numFmtId="44" fontId="2" fillId="0" borderId="38" xfId="2" applyNumberFormat="1" applyFont="1" applyFill="1" applyBorder="1"/>
    <xf numFmtId="43" fontId="2" fillId="0" borderId="17" xfId="0" applyNumberFormat="1" applyFont="1" applyFill="1" applyBorder="1"/>
    <xf numFmtId="0" fontId="3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4" fontId="10" fillId="0" borderId="28" xfId="2" applyFont="1" applyFill="1" applyBorder="1"/>
    <xf numFmtId="44" fontId="2" fillId="0" borderId="9" xfId="2" applyFont="1" applyFill="1" applyBorder="1"/>
    <xf numFmtId="0" fontId="3" fillId="0" borderId="9" xfId="0" applyFont="1" applyFill="1" applyBorder="1"/>
    <xf numFmtId="49" fontId="3" fillId="0" borderId="18" xfId="0" applyNumberFormat="1" applyFont="1" applyFill="1" applyBorder="1" applyAlignment="1">
      <alignment horizontal="left"/>
    </xf>
    <xf numFmtId="0" fontId="3" fillId="0" borderId="19" xfId="0" applyFont="1" applyFill="1" applyBorder="1"/>
    <xf numFmtId="44" fontId="2" fillId="0" borderId="19" xfId="2" applyFont="1" applyFill="1" applyBorder="1"/>
    <xf numFmtId="44" fontId="2" fillId="0" borderId="27" xfId="2" applyFont="1" applyFill="1" applyBorder="1"/>
    <xf numFmtId="43" fontId="2" fillId="0" borderId="20" xfId="0" applyNumberFormat="1" applyFont="1" applyFill="1" applyBorder="1"/>
    <xf numFmtId="44" fontId="2" fillId="0" borderId="19" xfId="2" applyNumberFormat="1" applyFont="1" applyFill="1" applyBorder="1"/>
    <xf numFmtId="44" fontId="9" fillId="0" borderId="38" xfId="2" applyFont="1" applyFill="1" applyBorder="1"/>
    <xf numFmtId="44" fontId="9" fillId="0" borderId="0" xfId="2" applyFont="1" applyFill="1"/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44" fontId="10" fillId="0" borderId="0" xfId="2" applyFont="1" applyFill="1" applyBorder="1"/>
    <xf numFmtId="43" fontId="3" fillId="0" borderId="0" xfId="1" applyFont="1" applyBorder="1"/>
    <xf numFmtId="0" fontId="2" fillId="0" borderId="44" xfId="0" applyFont="1" applyBorder="1"/>
    <xf numFmtId="2" fontId="2" fillId="0" borderId="32" xfId="0" applyNumberFormat="1" applyFont="1" applyBorder="1"/>
    <xf numFmtId="44" fontId="2" fillId="0" borderId="46" xfId="2" applyFont="1" applyFill="1" applyBorder="1"/>
    <xf numFmtId="44" fontId="2" fillId="0" borderId="47" xfId="2" applyFont="1" applyFill="1" applyBorder="1"/>
    <xf numFmtId="43" fontId="2" fillId="0" borderId="17" xfId="0" applyNumberFormat="1" applyFont="1" applyBorder="1"/>
    <xf numFmtId="43" fontId="2" fillId="0" borderId="48" xfId="0" applyNumberFormat="1" applyFont="1" applyFill="1" applyBorder="1"/>
    <xf numFmtId="49" fontId="3" fillId="0" borderId="16" xfId="0" applyNumberFormat="1" applyFon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center"/>
    </xf>
    <xf numFmtId="0" fontId="11" fillId="4" borderId="0" xfId="0" applyFont="1" applyFill="1" applyBorder="1"/>
    <xf numFmtId="0" fontId="12" fillId="4" borderId="0" xfId="0" applyFont="1" applyFill="1" applyBorder="1" applyAlignment="1">
      <alignment vertical="top"/>
    </xf>
    <xf numFmtId="0" fontId="12" fillId="4" borderId="0" xfId="0" applyFont="1" applyFill="1" applyBorder="1"/>
    <xf numFmtId="43" fontId="12" fillId="4" borderId="0" xfId="1" applyFont="1" applyFill="1" applyBorder="1"/>
    <xf numFmtId="0" fontId="11" fillId="4" borderId="0" xfId="0" applyFont="1" applyFill="1"/>
    <xf numFmtId="0" fontId="13" fillId="4" borderId="0" xfId="0" applyFont="1" applyFill="1" applyBorder="1" applyAlignment="1">
      <alignment horizontal="right" vertical="top"/>
    </xf>
    <xf numFmtId="0" fontId="14" fillId="4" borderId="0" xfId="0" applyFont="1" applyFill="1" applyBorder="1"/>
    <xf numFmtId="0" fontId="15" fillId="4" borderId="0" xfId="0" applyFont="1" applyFill="1" applyBorder="1" applyAlignment="1">
      <alignment vertical="top"/>
    </xf>
    <xf numFmtId="0" fontId="14" fillId="4" borderId="0" xfId="0" applyFont="1" applyFill="1" applyBorder="1" applyAlignment="1"/>
    <xf numFmtId="0" fontId="12" fillId="4" borderId="0" xfId="0" applyFont="1" applyFill="1" applyBorder="1" applyAlignment="1">
      <alignment horizontal="right"/>
    </xf>
    <xf numFmtId="0" fontId="14" fillId="4" borderId="0" xfId="0" applyFont="1" applyFill="1"/>
    <xf numFmtId="0" fontId="11" fillId="4" borderId="0" xfId="0" applyFont="1" applyFill="1" applyBorder="1" applyAlignment="1"/>
    <xf numFmtId="0" fontId="14" fillId="4" borderId="0" xfId="0" applyFont="1" applyFill="1" applyBorder="1" applyAlignment="1">
      <alignment vertical="top"/>
    </xf>
    <xf numFmtId="49" fontId="3" fillId="0" borderId="14" xfId="0" applyNumberFormat="1" applyFont="1" applyFill="1" applyBorder="1" applyAlignment="1">
      <alignment horizontal="center"/>
    </xf>
    <xf numFmtId="0" fontId="9" fillId="0" borderId="0" xfId="0" applyFont="1" applyFill="1"/>
    <xf numFmtId="7" fontId="2" fillId="0" borderId="0" xfId="2" applyNumberFormat="1" applyFont="1" applyBorder="1"/>
    <xf numFmtId="0" fontId="3" fillId="0" borderId="51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42" xfId="0" applyFont="1" applyBorder="1"/>
    <xf numFmtId="0" fontId="3" fillId="0" borderId="52" xfId="0" applyFont="1" applyBorder="1"/>
    <xf numFmtId="44" fontId="9" fillId="0" borderId="42" xfId="2" applyFont="1" applyBorder="1"/>
    <xf numFmtId="44" fontId="9" fillId="0" borderId="52" xfId="2" applyFont="1" applyBorder="1"/>
    <xf numFmtId="44" fontId="9" fillId="0" borderId="53" xfId="2" applyFont="1" applyBorder="1"/>
    <xf numFmtId="44" fontId="9" fillId="0" borderId="54" xfId="2" applyFont="1" applyBorder="1"/>
    <xf numFmtId="44" fontId="9" fillId="0" borderId="45" xfId="2" applyFont="1" applyBorder="1"/>
    <xf numFmtId="43" fontId="9" fillId="0" borderId="56" xfId="0" applyNumberFormat="1" applyFont="1" applyBorder="1" applyAlignment="1"/>
    <xf numFmtId="43" fontId="9" fillId="0" borderId="55" xfId="0" applyNumberFormat="1" applyFont="1" applyBorder="1" applyAlignment="1"/>
    <xf numFmtId="44" fontId="2" fillId="0" borderId="52" xfId="2" applyFont="1" applyBorder="1"/>
    <xf numFmtId="44" fontId="2" fillId="0" borderId="47" xfId="2" applyFont="1" applyBorder="1"/>
    <xf numFmtId="44" fontId="2" fillId="0" borderId="57" xfId="2" applyFont="1" applyBorder="1"/>
    <xf numFmtId="44" fontId="9" fillId="0" borderId="19" xfId="2" applyFont="1" applyBorder="1"/>
    <xf numFmtId="44" fontId="2" fillId="0" borderId="58" xfId="2" applyFont="1" applyFill="1" applyBorder="1"/>
    <xf numFmtId="44" fontId="2" fillId="0" borderId="38" xfId="2" applyFont="1" applyBorder="1"/>
    <xf numFmtId="44" fontId="2" fillId="0" borderId="10" xfId="2" applyFont="1" applyBorder="1"/>
    <xf numFmtId="44" fontId="2" fillId="0" borderId="35" xfId="2" applyFont="1" applyBorder="1"/>
    <xf numFmtId="44" fontId="2" fillId="0" borderId="59" xfId="2" applyFont="1" applyFill="1" applyBorder="1"/>
    <xf numFmtId="44" fontId="2" fillId="0" borderId="60" xfId="2" applyFont="1" applyFill="1" applyBorder="1"/>
    <xf numFmtId="44" fontId="2" fillId="0" borderId="58" xfId="2" applyFont="1" applyBorder="1"/>
    <xf numFmtId="0" fontId="9" fillId="0" borderId="34" xfId="0" applyFont="1" applyBorder="1"/>
    <xf numFmtId="43" fontId="9" fillId="0" borderId="20" xfId="0" applyNumberFormat="1" applyFont="1" applyBorder="1"/>
    <xf numFmtId="43" fontId="17" fillId="0" borderId="0" xfId="1" applyFont="1"/>
    <xf numFmtId="44" fontId="0" fillId="0" borderId="0" xfId="2" applyFont="1"/>
    <xf numFmtId="44" fontId="9" fillId="0" borderId="61" xfId="2" applyFont="1" applyBorder="1"/>
    <xf numFmtId="44" fontId="2" fillId="0" borderId="61" xfId="2" applyFont="1" applyBorder="1"/>
    <xf numFmtId="44" fontId="2" fillId="0" borderId="62" xfId="2" applyFont="1" applyBorder="1"/>
    <xf numFmtId="44" fontId="2" fillId="0" borderId="16" xfId="2" applyFont="1" applyBorder="1"/>
    <xf numFmtId="44" fontId="2" fillId="0" borderId="64" xfId="2" applyFont="1" applyBorder="1"/>
    <xf numFmtId="44" fontId="2" fillId="0" borderId="0" xfId="2" applyNumberFormat="1" applyFont="1" applyFill="1" applyBorder="1"/>
    <xf numFmtId="44" fontId="9" fillId="0" borderId="63" xfId="2" applyFont="1" applyBorder="1"/>
    <xf numFmtId="44" fontId="9" fillId="0" borderId="16" xfId="2" applyFont="1" applyBorder="1"/>
    <xf numFmtId="44" fontId="9" fillId="0" borderId="37" xfId="2" applyFont="1" applyBorder="1"/>
    <xf numFmtId="44" fontId="9" fillId="0" borderId="18" xfId="2" applyFont="1" applyBorder="1"/>
    <xf numFmtId="44" fontId="2" fillId="0" borderId="30" xfId="2" applyFont="1" applyBorder="1"/>
    <xf numFmtId="44" fontId="2" fillId="0" borderId="65" xfId="2" applyFont="1" applyFill="1" applyBorder="1"/>
    <xf numFmtId="44" fontId="2" fillId="0" borderId="66" xfId="2" applyFont="1" applyBorder="1"/>
    <xf numFmtId="43" fontId="2" fillId="0" borderId="48" xfId="0" applyNumberFormat="1" applyFont="1" applyBorder="1"/>
    <xf numFmtId="44" fontId="2" fillId="0" borderId="67" xfId="2" applyFont="1" applyFill="1" applyBorder="1"/>
    <xf numFmtId="0" fontId="14" fillId="4" borderId="49" xfId="0" applyFont="1" applyFill="1" applyBorder="1" applyAlignment="1" applyProtection="1">
      <alignment horizontal="center"/>
      <protection locked="0"/>
    </xf>
    <xf numFmtId="0" fontId="16" fillId="4" borderId="0" xfId="0" applyFont="1" applyFill="1" applyBorder="1" applyAlignment="1" applyProtection="1">
      <alignment horizontal="center" vertical="top" wrapText="1"/>
      <protection locked="0"/>
    </xf>
    <xf numFmtId="43" fontId="16" fillId="4" borderId="33" xfId="1" applyFont="1" applyFill="1" applyBorder="1" applyAlignment="1" applyProtection="1">
      <alignment horizontal="center"/>
      <protection locked="0"/>
    </xf>
    <xf numFmtId="43" fontId="12" fillId="4" borderId="33" xfId="1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</xdr:row>
      <xdr:rowOff>0</xdr:rowOff>
    </xdr:from>
    <xdr:to>
      <xdr:col>2</xdr:col>
      <xdr:colOff>20955</xdr:colOff>
      <xdr:row>7</xdr:row>
      <xdr:rowOff>163830</xdr:rowOff>
    </xdr:to>
    <xdr:pic>
      <xdr:nvPicPr>
        <xdr:cNvPr id="6" name="5 Imagen" descr="C:\Users\45\Downloads\IMG_0826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4300"/>
          <a:ext cx="1154430" cy="11068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704850</xdr:colOff>
      <xdr:row>57</xdr:row>
      <xdr:rowOff>86590</xdr:rowOff>
    </xdr:from>
    <xdr:to>
      <xdr:col>2</xdr:col>
      <xdr:colOff>20955</xdr:colOff>
      <xdr:row>62</xdr:row>
      <xdr:rowOff>125728</xdr:rowOff>
    </xdr:to>
    <xdr:pic>
      <xdr:nvPicPr>
        <xdr:cNvPr id="9" name="8 Imagen" descr="C:\Users\45\Downloads\IMG_0826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092295"/>
          <a:ext cx="1151832" cy="83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495301</xdr:colOff>
      <xdr:row>1</xdr:row>
      <xdr:rowOff>152400</xdr:rowOff>
    </xdr:from>
    <xdr:to>
      <xdr:col>14</xdr:col>
      <xdr:colOff>762001</xdr:colOff>
      <xdr:row>8</xdr:row>
      <xdr:rowOff>47625</xdr:rowOff>
    </xdr:to>
    <xdr:pic>
      <xdr:nvPicPr>
        <xdr:cNvPr id="10" name="Imagen 9" descr="C:\Users\Egresos\Desktop\HERALDICA-RGB-0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1" y="266700"/>
          <a:ext cx="12954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579437</xdr:colOff>
      <xdr:row>55</xdr:row>
      <xdr:rowOff>71437</xdr:rowOff>
    </xdr:from>
    <xdr:to>
      <xdr:col>14</xdr:col>
      <xdr:colOff>655637</xdr:colOff>
      <xdr:row>61</xdr:row>
      <xdr:rowOff>7938</xdr:rowOff>
    </xdr:to>
    <xdr:pic>
      <xdr:nvPicPr>
        <xdr:cNvPr id="7" name="Imagen 6" descr="C:\Users\Egresos\Desktop\HERALDICA-RGB-0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12858750"/>
          <a:ext cx="1108075" cy="8493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7"/>
  <sheetViews>
    <sheetView tabSelected="1" topLeftCell="A4" zoomScale="104" zoomScaleNormal="104" workbookViewId="0">
      <pane xSplit="3" ySplit="9" topLeftCell="G309" activePane="bottomRight" state="frozen"/>
      <selection activeCell="A4" sqref="A4"/>
      <selection pane="topRight" activeCell="D4" sqref="D4"/>
      <selection pane="bottomLeft" activeCell="A13" sqref="A13"/>
      <selection pane="bottomRight" activeCell="M154" sqref="M154"/>
    </sheetView>
  </sheetViews>
  <sheetFormatPr baseColWidth="10" defaultColWidth="11.44140625" defaultRowHeight="9.6" x14ac:dyDescent="0.2"/>
  <cols>
    <col min="1" max="1" width="11.44140625" style="1"/>
    <col min="2" max="2" width="16.109375" style="1" customWidth="1"/>
    <col min="3" max="3" width="38" style="1" customWidth="1"/>
    <col min="4" max="4" width="21.5546875" style="1" bestFit="1" customWidth="1"/>
    <col min="5" max="5" width="15.44140625" style="1" bestFit="1" customWidth="1"/>
    <col min="6" max="6" width="15.5546875" style="1" bestFit="1" customWidth="1"/>
    <col min="7" max="7" width="15.109375" style="1" customWidth="1"/>
    <col min="8" max="8" width="18.109375" style="1" customWidth="1"/>
    <col min="9" max="10" width="15.44140625" style="1" bestFit="1" customWidth="1"/>
    <col min="11" max="11" width="15.5546875" style="1" bestFit="1" customWidth="1"/>
    <col min="12" max="12" width="15" style="1" bestFit="1" customWidth="1"/>
    <col min="13" max="14" width="15.44140625" style="1" bestFit="1" customWidth="1"/>
    <col min="15" max="15" width="12.88671875" style="1" bestFit="1" customWidth="1"/>
    <col min="16" max="16" width="15.44140625" style="1" bestFit="1" customWidth="1"/>
    <col min="17" max="17" width="16.88671875" style="1" bestFit="1" customWidth="1"/>
    <col min="18" max="18" width="15.44140625" style="1" bestFit="1" customWidth="1"/>
    <col min="19" max="19" width="14.44140625" style="1" bestFit="1" customWidth="1"/>
    <col min="20" max="16384" width="11.44140625" style="1"/>
  </cols>
  <sheetData>
    <row r="1" spans="2:20" x14ac:dyDescent="0.2">
      <c r="J1" s="1" t="s">
        <v>0</v>
      </c>
    </row>
    <row r="2" spans="2:20" ht="13.2" x14ac:dyDescent="0.25">
      <c r="B2" s="181" t="s">
        <v>1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2:20" ht="12" x14ac:dyDescent="0.25">
      <c r="B3" s="17"/>
      <c r="C3" s="17" t="s">
        <v>2</v>
      </c>
    </row>
    <row r="4" spans="2:20" ht="12" x14ac:dyDescent="0.25">
      <c r="B4" s="17"/>
      <c r="G4" s="16" t="s">
        <v>3</v>
      </c>
    </row>
    <row r="5" spans="2:20" ht="12" x14ac:dyDescent="0.25">
      <c r="B5" s="17"/>
      <c r="G5" s="16" t="s">
        <v>4</v>
      </c>
    </row>
    <row r="6" spans="2:20" ht="12" x14ac:dyDescent="0.25">
      <c r="B6" s="17"/>
      <c r="G6" s="16" t="s">
        <v>5</v>
      </c>
      <c r="H6" s="18"/>
      <c r="I6" s="18"/>
      <c r="J6" s="18"/>
      <c r="K6" s="18"/>
    </row>
    <row r="7" spans="2:20" ht="13.5" customHeight="1" x14ac:dyDescent="0.25">
      <c r="B7" s="17"/>
      <c r="G7" s="16" t="s">
        <v>6</v>
      </c>
      <c r="H7" s="20" t="s">
        <v>7</v>
      </c>
      <c r="I7" s="19"/>
      <c r="J7" s="19"/>
      <c r="K7" s="19"/>
    </row>
    <row r="8" spans="2:20" ht="13.5" customHeight="1" x14ac:dyDescent="0.2">
      <c r="G8" s="16" t="s">
        <v>8</v>
      </c>
      <c r="H8" s="148" t="s">
        <v>402</v>
      </c>
      <c r="I8" s="19"/>
      <c r="J8" s="19"/>
      <c r="K8" s="19"/>
    </row>
    <row r="9" spans="2:20" ht="10.199999999999999" thickBot="1" x14ac:dyDescent="0.25"/>
    <row r="10" spans="2:20" ht="24" customHeight="1" thickTop="1" thickBot="1" x14ac:dyDescent="0.25">
      <c r="B10" s="172" t="s">
        <v>9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4"/>
    </row>
    <row r="11" spans="2:20" ht="41.25" customHeight="1" thickTop="1" thickBot="1" x14ac:dyDescent="0.25">
      <c r="B11" s="175" t="s">
        <v>10</v>
      </c>
      <c r="C11" s="176"/>
      <c r="D11" s="4" t="s">
        <v>11</v>
      </c>
      <c r="E11" s="4" t="s">
        <v>403</v>
      </c>
      <c r="F11" s="4" t="s">
        <v>11</v>
      </c>
      <c r="G11" s="4" t="s">
        <v>404</v>
      </c>
      <c r="H11" s="4" t="s">
        <v>11</v>
      </c>
      <c r="I11" s="4" t="s">
        <v>405</v>
      </c>
      <c r="J11" s="177" t="s">
        <v>12</v>
      </c>
      <c r="K11" s="178"/>
      <c r="L11" s="11" t="s">
        <v>13</v>
      </c>
      <c r="M11" s="179" t="s">
        <v>14</v>
      </c>
      <c r="N11" s="180"/>
      <c r="O11" s="13" t="s">
        <v>13</v>
      </c>
    </row>
    <row r="12" spans="2:20" ht="57" customHeight="1" thickBot="1" x14ac:dyDescent="0.25">
      <c r="B12" s="7" t="s">
        <v>15</v>
      </c>
      <c r="C12" s="2" t="s">
        <v>16</v>
      </c>
      <c r="D12" s="71" t="s">
        <v>17</v>
      </c>
      <c r="E12" s="2" t="s">
        <v>18</v>
      </c>
      <c r="F12" s="71" t="s">
        <v>17</v>
      </c>
      <c r="G12" s="2" t="s">
        <v>18</v>
      </c>
      <c r="H12" s="71" t="s">
        <v>17</v>
      </c>
      <c r="I12" s="2" t="s">
        <v>18</v>
      </c>
      <c r="J12" s="71" t="s">
        <v>17</v>
      </c>
      <c r="K12" s="2" t="s">
        <v>18</v>
      </c>
      <c r="L12" s="12" t="s">
        <v>19</v>
      </c>
      <c r="M12" s="72" t="s">
        <v>17</v>
      </c>
      <c r="N12" s="2" t="s">
        <v>18</v>
      </c>
      <c r="O12" s="8" t="s">
        <v>23</v>
      </c>
      <c r="P12" s="3"/>
      <c r="Q12" s="3"/>
      <c r="R12" s="3"/>
      <c r="S12" s="3"/>
      <c r="T12" s="3"/>
    </row>
    <row r="13" spans="2:20" ht="20.100000000000001" customHeight="1" x14ac:dyDescent="0.2">
      <c r="B13" s="97" t="s">
        <v>53</v>
      </c>
      <c r="C13" s="5" t="s">
        <v>63</v>
      </c>
      <c r="D13" s="44">
        <v>0</v>
      </c>
      <c r="E13" s="48">
        <f t="shared" ref="E13:E31" si="0">N13/12</f>
        <v>4166.666666666667</v>
      </c>
      <c r="F13" s="44">
        <v>0</v>
      </c>
      <c r="G13" s="48">
        <f>+E13</f>
        <v>4166.666666666667</v>
      </c>
      <c r="H13" s="44">
        <v>0</v>
      </c>
      <c r="I13" s="48">
        <f>50000/12</f>
        <v>4166.666666666667</v>
      </c>
      <c r="J13" s="45">
        <f t="shared" ref="J13:J30" si="1">D13+F13+H13</f>
        <v>0</v>
      </c>
      <c r="K13" s="44">
        <f t="shared" ref="K13:K31" si="2">(+E13+G13+I13)</f>
        <v>12500</v>
      </c>
      <c r="L13" s="61">
        <f>+J13/K13*100</f>
        <v>0</v>
      </c>
      <c r="M13" s="152">
        <f>2396+J13</f>
        <v>2396</v>
      </c>
      <c r="N13" s="44">
        <v>50000</v>
      </c>
      <c r="O13" s="47">
        <f>M13/N13*100</f>
        <v>4.7919999999999998</v>
      </c>
      <c r="Q13" s="60"/>
      <c r="R13" s="60"/>
      <c r="S13" s="52"/>
    </row>
    <row r="14" spans="2:20" ht="20.100000000000001" customHeight="1" x14ac:dyDescent="0.2">
      <c r="B14" s="98" t="s">
        <v>54</v>
      </c>
      <c r="C14" s="21" t="s">
        <v>64</v>
      </c>
      <c r="D14" s="48">
        <v>261406.39</v>
      </c>
      <c r="E14" s="48">
        <f t="shared" si="0"/>
        <v>1117952.8316666668</v>
      </c>
      <c r="F14" s="48">
        <v>111627.8</v>
      </c>
      <c r="G14" s="48">
        <f t="shared" ref="G14:G30" si="3">+E14</f>
        <v>1117952.8316666668</v>
      </c>
      <c r="H14" s="48">
        <v>178649.88</v>
      </c>
      <c r="I14" s="48">
        <f>G14</f>
        <v>1117952.8316666668</v>
      </c>
      <c r="J14" s="49">
        <f t="shared" si="1"/>
        <v>551684.07000000007</v>
      </c>
      <c r="K14" s="50">
        <f t="shared" si="2"/>
        <v>3353858.4950000001</v>
      </c>
      <c r="L14" s="61">
        <f t="shared" ref="L14:L30" si="4">+J14/K14*100</f>
        <v>16.449235136856903</v>
      </c>
      <c r="M14" s="158">
        <f>12605203.71+J14</f>
        <v>13156887.780000001</v>
      </c>
      <c r="N14" s="50">
        <v>13415433.98</v>
      </c>
      <c r="O14" s="46">
        <f>M14/N14*100</f>
        <v>98.072770509061087</v>
      </c>
      <c r="Q14" s="60"/>
      <c r="R14" s="60"/>
      <c r="S14" s="52"/>
    </row>
    <row r="15" spans="2:20" ht="20.100000000000001" customHeight="1" x14ac:dyDescent="0.2">
      <c r="B15" s="98" t="s">
        <v>55</v>
      </c>
      <c r="C15" s="21" t="s">
        <v>65</v>
      </c>
      <c r="D15" s="48">
        <v>1460609.74</v>
      </c>
      <c r="E15" s="48">
        <f t="shared" si="0"/>
        <v>458333.33333333331</v>
      </c>
      <c r="F15" s="48">
        <v>969713.15</v>
      </c>
      <c r="G15" s="48">
        <f t="shared" si="3"/>
        <v>458333.33333333331</v>
      </c>
      <c r="H15" s="48">
        <v>1706063.2</v>
      </c>
      <c r="I15" s="48">
        <f>4000000/12</f>
        <v>333333.33333333331</v>
      </c>
      <c r="J15" s="49">
        <f t="shared" si="1"/>
        <v>4136386.09</v>
      </c>
      <c r="K15" s="50">
        <f t="shared" si="2"/>
        <v>1250000</v>
      </c>
      <c r="L15" s="61">
        <f t="shared" si="4"/>
        <v>330.91088719999999</v>
      </c>
      <c r="M15" s="159">
        <f>3099024.49+J15</f>
        <v>7235410.5800000001</v>
      </c>
      <c r="N15" s="50">
        <v>5500000</v>
      </c>
      <c r="O15" s="46">
        <f t="shared" ref="O15:O31" si="5">M15/N15*100</f>
        <v>131.55291963636364</v>
      </c>
      <c r="Q15" s="60"/>
      <c r="R15" s="60"/>
      <c r="S15" s="52"/>
    </row>
    <row r="16" spans="2:20" ht="20.100000000000001" customHeight="1" x14ac:dyDescent="0.2">
      <c r="B16" s="98" t="s">
        <v>56</v>
      </c>
      <c r="C16" s="6" t="s">
        <v>66</v>
      </c>
      <c r="D16" s="50">
        <v>64661.64</v>
      </c>
      <c r="E16" s="48">
        <f t="shared" si="0"/>
        <v>37500</v>
      </c>
      <c r="F16" s="50">
        <v>40320.22</v>
      </c>
      <c r="G16" s="48">
        <f t="shared" si="3"/>
        <v>37500</v>
      </c>
      <c r="H16" s="50">
        <v>48533.84</v>
      </c>
      <c r="I16" s="48">
        <f>430000/12</f>
        <v>35833.333333333336</v>
      </c>
      <c r="J16" s="49">
        <f t="shared" si="1"/>
        <v>153515.70000000001</v>
      </c>
      <c r="K16" s="50">
        <f t="shared" si="2"/>
        <v>110833.33333333334</v>
      </c>
      <c r="L16" s="61">
        <f t="shared" si="4"/>
        <v>138.5104060150376</v>
      </c>
      <c r="M16" s="60">
        <f>399022.35+J16</f>
        <v>552538.05000000005</v>
      </c>
      <c r="N16" s="50">
        <v>450000</v>
      </c>
      <c r="O16" s="46">
        <f t="shared" si="5"/>
        <v>122.78623333333334</v>
      </c>
      <c r="Q16" s="60"/>
      <c r="R16" s="60"/>
      <c r="S16" s="52"/>
    </row>
    <row r="17" spans="1:19" ht="20.100000000000001" customHeight="1" x14ac:dyDescent="0.2">
      <c r="B17" s="98">
        <v>4131</v>
      </c>
      <c r="C17" s="6" t="s">
        <v>111</v>
      </c>
      <c r="D17" s="50">
        <v>0</v>
      </c>
      <c r="E17" s="48">
        <f t="shared" si="0"/>
        <v>1000</v>
      </c>
      <c r="F17" s="50">
        <v>0</v>
      </c>
      <c r="G17" s="48">
        <f t="shared" si="3"/>
        <v>1000</v>
      </c>
      <c r="H17" s="50">
        <v>0</v>
      </c>
      <c r="I17" s="48">
        <f>12000/12</f>
        <v>1000</v>
      </c>
      <c r="J17" s="49">
        <f t="shared" si="1"/>
        <v>0</v>
      </c>
      <c r="K17" s="50">
        <f t="shared" si="2"/>
        <v>3000</v>
      </c>
      <c r="L17" s="61">
        <f t="shared" si="4"/>
        <v>0</v>
      </c>
      <c r="M17" s="159">
        <f>0+J17</f>
        <v>0</v>
      </c>
      <c r="N17" s="50">
        <v>12000</v>
      </c>
      <c r="O17" s="46">
        <f t="shared" si="5"/>
        <v>0</v>
      </c>
      <c r="Q17" s="60"/>
      <c r="R17" s="60"/>
      <c r="S17" s="52"/>
    </row>
    <row r="18" spans="1:19" ht="20.100000000000001" customHeight="1" x14ac:dyDescent="0.2">
      <c r="B18" s="98">
        <v>4141</v>
      </c>
      <c r="C18" s="6" t="s">
        <v>191</v>
      </c>
      <c r="D18" s="50">
        <v>0</v>
      </c>
      <c r="E18" s="48">
        <f t="shared" si="0"/>
        <v>416.66666666666669</v>
      </c>
      <c r="F18" s="50">
        <v>0</v>
      </c>
      <c r="G18" s="48">
        <f t="shared" si="3"/>
        <v>416.66666666666669</v>
      </c>
      <c r="H18" s="50">
        <v>0</v>
      </c>
      <c r="I18" s="48">
        <f>5000/12</f>
        <v>416.66666666666669</v>
      </c>
      <c r="J18" s="49">
        <f t="shared" si="1"/>
        <v>0</v>
      </c>
      <c r="K18" s="50">
        <f t="shared" si="2"/>
        <v>1250</v>
      </c>
      <c r="L18" s="61">
        <f t="shared" si="4"/>
        <v>0</v>
      </c>
      <c r="M18" s="159">
        <f>0+J18</f>
        <v>0</v>
      </c>
      <c r="N18" s="50">
        <v>5000</v>
      </c>
      <c r="O18" s="46">
        <f t="shared" si="5"/>
        <v>0</v>
      </c>
      <c r="Q18" s="60"/>
      <c r="R18" s="60"/>
      <c r="S18" s="52"/>
    </row>
    <row r="19" spans="1:19" ht="20.100000000000001" customHeight="1" x14ac:dyDescent="0.2">
      <c r="B19" s="98" t="s">
        <v>57</v>
      </c>
      <c r="C19" s="6" t="s">
        <v>67</v>
      </c>
      <c r="D19" s="50">
        <v>3463601.54</v>
      </c>
      <c r="E19" s="48">
        <f t="shared" si="0"/>
        <v>2648433.1850000001</v>
      </c>
      <c r="F19" s="50">
        <v>7471300.7800000003</v>
      </c>
      <c r="G19" s="48">
        <f t="shared" si="3"/>
        <v>2648433.1850000001</v>
      </c>
      <c r="H19" s="50">
        <v>-2379672.25</v>
      </c>
      <c r="I19" s="48">
        <f t="shared" ref="I19:I31" si="6">G19</f>
        <v>2648433.1850000001</v>
      </c>
      <c r="J19" s="49">
        <f t="shared" si="1"/>
        <v>8555230.0700000003</v>
      </c>
      <c r="K19" s="50">
        <f t="shared" si="2"/>
        <v>7945299.5549999997</v>
      </c>
      <c r="L19" s="61">
        <f t="shared" si="4"/>
        <v>107.67662075895137</v>
      </c>
      <c r="M19" s="159">
        <f>28913877.99+J19</f>
        <v>37469108.060000002</v>
      </c>
      <c r="N19" s="50">
        <v>31781198.219999999</v>
      </c>
      <c r="O19" s="46">
        <f t="shared" si="5"/>
        <v>117.89709060252041</v>
      </c>
      <c r="Q19" s="60"/>
      <c r="R19" s="60"/>
      <c r="S19" s="52"/>
    </row>
    <row r="20" spans="1:19" ht="20.100000000000001" customHeight="1" x14ac:dyDescent="0.2">
      <c r="B20" s="98">
        <v>4145</v>
      </c>
      <c r="C20" s="6" t="s">
        <v>68</v>
      </c>
      <c r="D20" s="50">
        <v>4663.04</v>
      </c>
      <c r="E20" s="48">
        <f t="shared" si="0"/>
        <v>2166.6666666666665</v>
      </c>
      <c r="F20" s="50">
        <v>2460.12</v>
      </c>
      <c r="G20" s="48">
        <f t="shared" si="3"/>
        <v>2166.6666666666665</v>
      </c>
      <c r="H20" s="50">
        <v>2464.17</v>
      </c>
      <c r="I20" s="48">
        <f t="shared" si="6"/>
        <v>2166.6666666666665</v>
      </c>
      <c r="J20" s="49">
        <f t="shared" si="1"/>
        <v>9587.33</v>
      </c>
      <c r="K20" s="50">
        <f t="shared" si="2"/>
        <v>6500</v>
      </c>
      <c r="L20" s="61">
        <f t="shared" si="4"/>
        <v>147.49738461538462</v>
      </c>
      <c r="M20" s="159">
        <f>14798.68+J20</f>
        <v>24386.010000000002</v>
      </c>
      <c r="N20" s="50">
        <v>26000</v>
      </c>
      <c r="O20" s="46">
        <f t="shared" si="5"/>
        <v>93.792346153846168</v>
      </c>
      <c r="Q20" s="60"/>
      <c r="R20" s="60"/>
      <c r="S20" s="52"/>
    </row>
    <row r="21" spans="1:19" ht="20.100000000000001" customHeight="1" x14ac:dyDescent="0.2">
      <c r="B21" s="98" t="s">
        <v>58</v>
      </c>
      <c r="C21" s="6" t="s">
        <v>187</v>
      </c>
      <c r="D21" s="50">
        <v>182425.52</v>
      </c>
      <c r="E21" s="48">
        <f t="shared" si="0"/>
        <v>83333.333333333328</v>
      </c>
      <c r="F21" s="50">
        <v>157638.63</v>
      </c>
      <c r="G21" s="48">
        <f t="shared" si="3"/>
        <v>83333.333333333328</v>
      </c>
      <c r="H21" s="50">
        <v>221538.44</v>
      </c>
      <c r="I21" s="48">
        <f t="shared" si="6"/>
        <v>83333.333333333328</v>
      </c>
      <c r="J21" s="49">
        <f t="shared" si="1"/>
        <v>561602.59000000008</v>
      </c>
      <c r="K21" s="50">
        <f t="shared" si="2"/>
        <v>250000</v>
      </c>
      <c r="L21" s="61">
        <f t="shared" si="4"/>
        <v>224.64103600000004</v>
      </c>
      <c r="M21" s="60">
        <f>700075.38+J21</f>
        <v>1261677.9700000002</v>
      </c>
      <c r="N21" s="50">
        <v>1000000</v>
      </c>
      <c r="O21" s="46">
        <f t="shared" si="5"/>
        <v>126.16779700000002</v>
      </c>
      <c r="Q21" s="60"/>
      <c r="R21" s="60"/>
      <c r="S21" s="52"/>
    </row>
    <row r="22" spans="1:19" ht="20.100000000000001" customHeight="1" x14ac:dyDescent="0.2">
      <c r="B22" s="98">
        <v>4154</v>
      </c>
      <c r="C22" s="6" t="s">
        <v>188</v>
      </c>
      <c r="D22" s="50">
        <v>0</v>
      </c>
      <c r="E22" s="48">
        <f t="shared" si="0"/>
        <v>833.33333333333337</v>
      </c>
      <c r="F22" s="50">
        <v>0</v>
      </c>
      <c r="G22" s="48">
        <f t="shared" si="3"/>
        <v>833.33333333333337</v>
      </c>
      <c r="H22" s="50">
        <v>0</v>
      </c>
      <c r="I22" s="48">
        <f t="shared" si="6"/>
        <v>833.33333333333337</v>
      </c>
      <c r="J22" s="49">
        <f t="shared" si="1"/>
        <v>0</v>
      </c>
      <c r="K22" s="50">
        <f t="shared" si="2"/>
        <v>2500</v>
      </c>
      <c r="L22" s="61">
        <f t="shared" si="4"/>
        <v>0</v>
      </c>
      <c r="M22" s="159">
        <f>0+J22</f>
        <v>0</v>
      </c>
      <c r="N22" s="50">
        <v>10000</v>
      </c>
      <c r="O22" s="46">
        <f t="shared" si="5"/>
        <v>0</v>
      </c>
      <c r="Q22" s="60"/>
      <c r="R22" s="60"/>
      <c r="S22" s="52"/>
    </row>
    <row r="23" spans="1:19" ht="20.100000000000001" customHeight="1" x14ac:dyDescent="0.2">
      <c r="B23" s="98">
        <v>4162</v>
      </c>
      <c r="C23" s="6" t="s">
        <v>193</v>
      </c>
      <c r="D23" s="50">
        <v>256636.72</v>
      </c>
      <c r="E23" s="48">
        <f t="shared" si="0"/>
        <v>125000</v>
      </c>
      <c r="F23" s="50">
        <v>262132.52</v>
      </c>
      <c r="G23" s="48">
        <f t="shared" si="3"/>
        <v>125000</v>
      </c>
      <c r="H23" s="50">
        <v>256208.94</v>
      </c>
      <c r="I23" s="48">
        <f t="shared" si="6"/>
        <v>125000</v>
      </c>
      <c r="J23" s="49">
        <f t="shared" si="1"/>
        <v>774978.17999999993</v>
      </c>
      <c r="K23" s="50">
        <f t="shared" si="2"/>
        <v>375000</v>
      </c>
      <c r="L23" s="61">
        <f t="shared" si="4"/>
        <v>206.66084799999999</v>
      </c>
      <c r="M23" s="60">
        <f>913498.71+J23</f>
        <v>1688476.89</v>
      </c>
      <c r="N23" s="50">
        <v>1500000</v>
      </c>
      <c r="O23" s="46">
        <f t="shared" si="5"/>
        <v>112.56512599999999</v>
      </c>
      <c r="Q23" s="60"/>
      <c r="R23" s="60"/>
      <c r="S23" s="52"/>
    </row>
    <row r="24" spans="1:19" ht="20.100000000000001" customHeight="1" x14ac:dyDescent="0.2">
      <c r="B24" s="98">
        <v>4166</v>
      </c>
      <c r="C24" s="22" t="s">
        <v>192</v>
      </c>
      <c r="D24" s="48">
        <v>8317.18</v>
      </c>
      <c r="E24" s="48">
        <f t="shared" si="0"/>
        <v>19518.412500000002</v>
      </c>
      <c r="F24" s="48">
        <v>9534.4699999999993</v>
      </c>
      <c r="G24" s="48">
        <f t="shared" si="3"/>
        <v>19518.412500000002</v>
      </c>
      <c r="H24" s="48">
        <v>140930.56</v>
      </c>
      <c r="I24" s="48">
        <f t="shared" si="6"/>
        <v>19518.412500000002</v>
      </c>
      <c r="J24" s="49">
        <f t="shared" si="1"/>
        <v>158782.21</v>
      </c>
      <c r="K24" s="50">
        <f t="shared" si="2"/>
        <v>58555.237500000003</v>
      </c>
      <c r="L24" s="61">
        <f t="shared" si="4"/>
        <v>271.16653740837438</v>
      </c>
      <c r="M24" s="160">
        <f>34153.11+J24</f>
        <v>192935.32</v>
      </c>
      <c r="N24" s="50">
        <v>234220.95</v>
      </c>
      <c r="O24" s="46">
        <f t="shared" si="5"/>
        <v>82.373212131536476</v>
      </c>
      <c r="Q24" s="60"/>
      <c r="R24" s="60"/>
      <c r="S24" s="52"/>
    </row>
    <row r="25" spans="1:19" ht="20.100000000000001" customHeight="1" x14ac:dyDescent="0.2">
      <c r="B25" s="98">
        <v>4168</v>
      </c>
      <c r="C25" s="22" t="s">
        <v>189</v>
      </c>
      <c r="D25" s="48">
        <v>0</v>
      </c>
      <c r="E25" s="48">
        <f t="shared" si="0"/>
        <v>833.33333333333337</v>
      </c>
      <c r="F25" s="48">
        <v>0</v>
      </c>
      <c r="G25" s="48">
        <f t="shared" si="3"/>
        <v>833.33333333333337</v>
      </c>
      <c r="H25" s="48">
        <v>0</v>
      </c>
      <c r="I25" s="48">
        <f t="shared" si="6"/>
        <v>833.33333333333337</v>
      </c>
      <c r="J25" s="49">
        <f t="shared" si="1"/>
        <v>0</v>
      </c>
      <c r="K25" s="50">
        <f t="shared" si="2"/>
        <v>2500</v>
      </c>
      <c r="L25" s="61">
        <f t="shared" si="4"/>
        <v>0</v>
      </c>
      <c r="M25" s="159">
        <f>0+J25</f>
        <v>0</v>
      </c>
      <c r="N25" s="50">
        <v>10000</v>
      </c>
      <c r="O25" s="46">
        <f t="shared" si="5"/>
        <v>0</v>
      </c>
      <c r="Q25" s="60"/>
      <c r="R25" s="60"/>
      <c r="S25" s="52"/>
    </row>
    <row r="26" spans="1:19" ht="20.100000000000001" customHeight="1" x14ac:dyDescent="0.2">
      <c r="B26" s="98">
        <v>4169</v>
      </c>
      <c r="C26" s="22" t="s">
        <v>190</v>
      </c>
      <c r="D26" s="48">
        <v>0</v>
      </c>
      <c r="E26" s="48">
        <f t="shared" si="0"/>
        <v>1046269.3016666666</v>
      </c>
      <c r="F26" s="48">
        <v>0</v>
      </c>
      <c r="G26" s="48">
        <f t="shared" si="3"/>
        <v>1046269.3016666666</v>
      </c>
      <c r="H26" s="48">
        <v>0</v>
      </c>
      <c r="I26" s="48">
        <f t="shared" si="6"/>
        <v>1046269.3016666666</v>
      </c>
      <c r="J26" s="49">
        <f t="shared" si="1"/>
        <v>0</v>
      </c>
      <c r="K26" s="50">
        <f t="shared" si="2"/>
        <v>3138807.9049999998</v>
      </c>
      <c r="L26" s="61">
        <f t="shared" si="4"/>
        <v>0</v>
      </c>
      <c r="M26" s="60">
        <f>12555231.02+J26</f>
        <v>12555231.02</v>
      </c>
      <c r="N26" s="50">
        <v>12555231.619999999</v>
      </c>
      <c r="O26" s="46">
        <f t="shared" si="5"/>
        <v>99.99999522111564</v>
      </c>
      <c r="Q26" s="60"/>
      <c r="R26" s="60"/>
      <c r="S26" s="52"/>
    </row>
    <row r="27" spans="1:19" ht="20.100000000000001" customHeight="1" x14ac:dyDescent="0.2">
      <c r="A27" s="73"/>
      <c r="B27" s="98" t="s">
        <v>59</v>
      </c>
      <c r="C27" s="22" t="s">
        <v>69</v>
      </c>
      <c r="D27" s="48">
        <v>12552838</v>
      </c>
      <c r="E27" s="48">
        <f t="shared" si="0"/>
        <v>9792916.666666666</v>
      </c>
      <c r="F27" s="48">
        <v>8620170</v>
      </c>
      <c r="G27" s="48">
        <f t="shared" si="3"/>
        <v>9792916.666666666</v>
      </c>
      <c r="H27" s="48">
        <v>7599381</v>
      </c>
      <c r="I27" s="48">
        <f t="shared" si="6"/>
        <v>9792916.666666666</v>
      </c>
      <c r="J27" s="49">
        <f t="shared" si="1"/>
        <v>28772389</v>
      </c>
      <c r="K27" s="50">
        <f t="shared" si="2"/>
        <v>29378750</v>
      </c>
      <c r="L27" s="61">
        <f t="shared" si="4"/>
        <v>97.936055822660933</v>
      </c>
      <c r="M27" s="160">
        <f>52377421+J27</f>
        <v>81149810</v>
      </c>
      <c r="N27" s="50">
        <v>117515000</v>
      </c>
      <c r="O27" s="46">
        <f t="shared" si="5"/>
        <v>69.054852572012081</v>
      </c>
      <c r="Q27" s="60"/>
      <c r="R27" s="60"/>
      <c r="S27" s="52"/>
    </row>
    <row r="28" spans="1:19" s="84" customFormat="1" ht="20.100000000000001" customHeight="1" x14ac:dyDescent="0.2">
      <c r="B28" s="98" t="s">
        <v>60</v>
      </c>
      <c r="C28" s="80" t="s">
        <v>70</v>
      </c>
      <c r="D28" s="95">
        <v>4601977</v>
      </c>
      <c r="E28" s="48">
        <f t="shared" si="0"/>
        <v>4287640.75</v>
      </c>
      <c r="F28" s="95">
        <v>4601978</v>
      </c>
      <c r="G28" s="48">
        <f t="shared" si="3"/>
        <v>4287640.75</v>
      </c>
      <c r="H28" s="95">
        <v>4601978</v>
      </c>
      <c r="I28" s="48">
        <f t="shared" si="6"/>
        <v>4287640.75</v>
      </c>
      <c r="J28" s="49">
        <f t="shared" si="1"/>
        <v>13805933</v>
      </c>
      <c r="K28" s="50">
        <f t="shared" si="2"/>
        <v>12862922.25</v>
      </c>
      <c r="L28" s="61">
        <f t="shared" si="4"/>
        <v>107.33123260540583</v>
      </c>
      <c r="M28" s="159">
        <f>27611865+J28</f>
        <v>41417798</v>
      </c>
      <c r="N28" s="50">
        <v>51451689</v>
      </c>
      <c r="O28" s="46">
        <f t="shared" si="5"/>
        <v>80.498422510483564</v>
      </c>
      <c r="Q28" s="96"/>
      <c r="R28" s="96"/>
      <c r="S28" s="124"/>
    </row>
    <row r="29" spans="1:19" s="84" customFormat="1" ht="20.100000000000001" customHeight="1" x14ac:dyDescent="0.2">
      <c r="B29" s="98" t="s">
        <v>61</v>
      </c>
      <c r="C29" s="80" t="s">
        <v>71</v>
      </c>
      <c r="D29" s="95">
        <v>0</v>
      </c>
      <c r="E29" s="48">
        <f t="shared" si="0"/>
        <v>516666.66666666669</v>
      </c>
      <c r="F29" s="95">
        <v>0</v>
      </c>
      <c r="G29" s="48">
        <f t="shared" si="3"/>
        <v>516666.66666666669</v>
      </c>
      <c r="H29" s="95">
        <v>0</v>
      </c>
      <c r="I29" s="48">
        <f t="shared" si="6"/>
        <v>516666.66666666669</v>
      </c>
      <c r="J29" s="49">
        <f t="shared" si="1"/>
        <v>0</v>
      </c>
      <c r="K29" s="50">
        <f t="shared" si="2"/>
        <v>1550000</v>
      </c>
      <c r="L29" s="61">
        <f t="shared" si="4"/>
        <v>0</v>
      </c>
      <c r="M29" s="159">
        <f>4800000+J29</f>
        <v>4800000</v>
      </c>
      <c r="N29" s="50">
        <v>6200000</v>
      </c>
      <c r="O29" s="46">
        <f t="shared" si="5"/>
        <v>77.41935483870968</v>
      </c>
      <c r="Q29" s="96"/>
      <c r="R29" s="96"/>
      <c r="S29" s="124"/>
    </row>
    <row r="30" spans="1:19" ht="20.100000000000001" customHeight="1" x14ac:dyDescent="0.2">
      <c r="B30" s="98" t="s">
        <v>62</v>
      </c>
      <c r="C30" s="22" t="s">
        <v>72</v>
      </c>
      <c r="D30" s="95">
        <v>503926</v>
      </c>
      <c r="E30" s="48">
        <f t="shared" si="0"/>
        <v>547666.66666666663</v>
      </c>
      <c r="F30" s="51">
        <v>555683</v>
      </c>
      <c r="G30" s="95">
        <f t="shared" si="3"/>
        <v>547666.66666666663</v>
      </c>
      <c r="H30" s="51">
        <v>470035</v>
      </c>
      <c r="I30" s="48">
        <f t="shared" si="6"/>
        <v>547666.66666666663</v>
      </c>
      <c r="J30" s="49">
        <f t="shared" si="1"/>
        <v>1529644</v>
      </c>
      <c r="K30" s="50">
        <f t="shared" si="2"/>
        <v>1643000</v>
      </c>
      <c r="L30" s="61">
        <f t="shared" si="4"/>
        <v>93.100669506999395</v>
      </c>
      <c r="M30" s="60">
        <f>2899806+J30</f>
        <v>4429450</v>
      </c>
      <c r="N30" s="50">
        <v>6572000</v>
      </c>
      <c r="O30" s="46">
        <f t="shared" si="5"/>
        <v>67.398813146682897</v>
      </c>
      <c r="Q30" s="60"/>
      <c r="R30" s="60"/>
      <c r="S30" s="52"/>
    </row>
    <row r="31" spans="1:19" ht="20.100000000000001" customHeight="1" x14ac:dyDescent="0.2">
      <c r="B31" s="127">
        <v>4221</v>
      </c>
      <c r="C31" s="129" t="s">
        <v>194</v>
      </c>
      <c r="D31" s="131">
        <v>0</v>
      </c>
      <c r="E31" s="48">
        <f t="shared" si="0"/>
        <v>225000</v>
      </c>
      <c r="F31" s="131">
        <v>0</v>
      </c>
      <c r="G31" s="131">
        <f t="shared" ref="G31" si="7">+E31</f>
        <v>225000</v>
      </c>
      <c r="H31" s="131"/>
      <c r="I31" s="48">
        <f t="shared" si="6"/>
        <v>225000</v>
      </c>
      <c r="J31" s="134">
        <f t="shared" ref="J31" si="8">D31+F31+H31</f>
        <v>0</v>
      </c>
      <c r="K31" s="50">
        <f t="shared" si="2"/>
        <v>675000</v>
      </c>
      <c r="L31" s="136">
        <f t="shared" ref="L31" si="9">+J31/K31*100</f>
        <v>0</v>
      </c>
      <c r="M31" s="160">
        <f>1200000+J31</f>
        <v>1200000</v>
      </c>
      <c r="N31" s="131">
        <v>2700000</v>
      </c>
      <c r="O31" s="46">
        <f t="shared" si="5"/>
        <v>44.444444444444443</v>
      </c>
      <c r="Q31" s="60"/>
      <c r="R31" s="60"/>
      <c r="S31" s="52"/>
    </row>
    <row r="32" spans="1:19" ht="20.100000000000001" customHeight="1" thickBot="1" x14ac:dyDescent="0.25">
      <c r="B32" s="126"/>
      <c r="C32" s="128"/>
      <c r="D32" s="130"/>
      <c r="E32" s="140"/>
      <c r="F32" s="130"/>
      <c r="G32" s="130"/>
      <c r="H32" s="130"/>
      <c r="I32" s="132"/>
      <c r="J32" s="133"/>
      <c r="K32" s="130"/>
      <c r="L32" s="135"/>
      <c r="M32" s="161"/>
      <c r="N32" s="130"/>
      <c r="O32" s="149"/>
      <c r="Q32" s="60"/>
      <c r="R32" s="60"/>
      <c r="S32" s="52"/>
    </row>
    <row r="33" spans="1:17" ht="12" thickBot="1" x14ac:dyDescent="0.25"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Q33" s="60"/>
    </row>
    <row r="34" spans="1:17" ht="20.100000000000001" customHeight="1" thickBot="1" x14ac:dyDescent="0.3">
      <c r="B34" s="14"/>
      <c r="C34" s="15" t="s">
        <v>20</v>
      </c>
      <c r="D34" s="86">
        <f t="shared" ref="D34:K34" si="10">SUM(D13:D32)</f>
        <v>23361062.77</v>
      </c>
      <c r="E34" s="53">
        <f t="shared" si="10"/>
        <v>20915647.814166669</v>
      </c>
      <c r="F34" s="53">
        <f t="shared" si="10"/>
        <v>22802558.689999998</v>
      </c>
      <c r="G34" s="53">
        <f t="shared" si="10"/>
        <v>20915647.814166669</v>
      </c>
      <c r="H34" s="53">
        <f t="shared" si="10"/>
        <v>12846110.780000001</v>
      </c>
      <c r="I34" s="53">
        <f t="shared" si="10"/>
        <v>20788981.147500001</v>
      </c>
      <c r="J34" s="86">
        <f t="shared" si="10"/>
        <v>59009732.240000002</v>
      </c>
      <c r="K34" s="86">
        <f t="shared" si="10"/>
        <v>62620276.775833331</v>
      </c>
      <c r="L34" s="66">
        <f>J34/K34*100</f>
        <v>94.234224564739193</v>
      </c>
      <c r="M34" s="54">
        <f>SUM(M13:M32)</f>
        <v>207136105.68000001</v>
      </c>
      <c r="N34" s="54">
        <f>SUM(N13:N32)</f>
        <v>250987773.77000001</v>
      </c>
      <c r="O34" s="66">
        <f>M34/N34*100</f>
        <v>82.528364855658367</v>
      </c>
      <c r="Q34" s="60"/>
    </row>
    <row r="35" spans="1:17" ht="20.100000000000001" customHeight="1" x14ac:dyDescent="0.25">
      <c r="B35" s="14"/>
      <c r="C35" s="15"/>
      <c r="D35" s="100"/>
      <c r="E35" s="74" t="s">
        <v>0</v>
      </c>
      <c r="F35" s="74"/>
      <c r="G35" s="74"/>
      <c r="H35" s="74"/>
      <c r="I35" s="74"/>
      <c r="J35" s="100"/>
      <c r="K35" s="100"/>
      <c r="L35" s="100"/>
      <c r="M35" s="74"/>
      <c r="N35" s="74"/>
      <c r="O35" s="75"/>
      <c r="Q35" s="60"/>
    </row>
    <row r="36" spans="1:17" ht="20.100000000000001" customHeight="1" x14ac:dyDescent="0.25">
      <c r="B36" s="14"/>
      <c r="C36" s="15"/>
      <c r="D36" s="100" t="s">
        <v>0</v>
      </c>
      <c r="E36" s="74" t="s">
        <v>0</v>
      </c>
      <c r="F36" s="74"/>
      <c r="G36" s="74"/>
      <c r="H36" s="74"/>
      <c r="I36" s="74"/>
      <c r="J36" s="100"/>
      <c r="K36" s="100"/>
      <c r="L36" s="100"/>
      <c r="M36" s="74"/>
      <c r="N36" s="74"/>
      <c r="O36" s="75"/>
      <c r="Q36" s="60"/>
    </row>
    <row r="37" spans="1:17" s="114" customFormat="1" ht="40.5" customHeight="1" x14ac:dyDescent="0.25">
      <c r="A37" s="110"/>
      <c r="B37" s="111"/>
      <c r="C37" s="112"/>
      <c r="D37" s="170"/>
      <c r="E37" s="170"/>
      <c r="F37" s="170"/>
      <c r="G37" s="170"/>
      <c r="H37" s="112"/>
      <c r="I37" s="113"/>
      <c r="J37" s="113"/>
      <c r="K37" s="110"/>
      <c r="L37" s="171"/>
      <c r="M37" s="171"/>
      <c r="N37" s="171"/>
      <c r="O37" s="171"/>
      <c r="P37" s="110"/>
      <c r="Q37" s="110"/>
    </row>
    <row r="38" spans="1:17" s="114" customFormat="1" ht="17.25" customHeight="1" x14ac:dyDescent="0.3">
      <c r="A38" s="110"/>
      <c r="B38" s="115"/>
      <c r="C38" s="110"/>
      <c r="D38" s="167" t="s">
        <v>234</v>
      </c>
      <c r="E38" s="167"/>
      <c r="F38" s="167"/>
      <c r="G38" s="167"/>
      <c r="H38" s="116"/>
      <c r="I38" s="117"/>
      <c r="J38" s="116"/>
      <c r="K38" s="167" t="s">
        <v>236</v>
      </c>
      <c r="L38" s="167"/>
      <c r="M38" s="167"/>
      <c r="N38" s="167"/>
      <c r="O38" s="167"/>
      <c r="P38" s="110"/>
      <c r="Q38" s="110"/>
    </row>
    <row r="39" spans="1:17" s="114" customFormat="1" ht="17.25" customHeight="1" x14ac:dyDescent="0.3">
      <c r="A39" s="110"/>
      <c r="B39" s="119"/>
      <c r="C39" s="110"/>
      <c r="D39" s="168" t="s">
        <v>235</v>
      </c>
      <c r="E39" s="168"/>
      <c r="F39" s="168"/>
      <c r="G39" s="168"/>
      <c r="H39" s="116"/>
      <c r="I39" s="117"/>
      <c r="J39" s="116"/>
      <c r="K39" s="168" t="s">
        <v>147</v>
      </c>
      <c r="L39" s="168"/>
      <c r="M39" s="168"/>
      <c r="N39" s="168"/>
      <c r="O39" s="168"/>
      <c r="P39" s="110"/>
      <c r="Q39" s="110"/>
    </row>
    <row r="40" spans="1:17" s="114" customFormat="1" ht="17.399999999999999" x14ac:dyDescent="0.3">
      <c r="A40" s="121"/>
      <c r="B40" s="121"/>
      <c r="C40" s="121"/>
      <c r="D40" s="118"/>
      <c r="E40" s="118"/>
      <c r="F40" s="118"/>
      <c r="G40" s="122"/>
      <c r="H40" s="122"/>
      <c r="I40" s="118"/>
      <c r="J40" s="120"/>
      <c r="K40" s="120"/>
      <c r="L40" s="120"/>
      <c r="M40" s="120"/>
      <c r="N40" s="120"/>
      <c r="O40" s="120"/>
    </row>
    <row r="41" spans="1:17" s="114" customFormat="1" ht="17.399999999999999" x14ac:dyDescent="0.3">
      <c r="A41" s="121"/>
      <c r="B41" s="121"/>
      <c r="C41" s="121"/>
      <c r="D41" s="118"/>
      <c r="E41" s="118"/>
      <c r="F41" s="118"/>
      <c r="G41" s="122"/>
      <c r="H41" s="122"/>
      <c r="I41" s="118"/>
      <c r="J41" s="120"/>
      <c r="K41" s="120"/>
      <c r="L41" s="120"/>
      <c r="M41" s="120"/>
      <c r="N41" s="120"/>
      <c r="O41" s="120"/>
    </row>
    <row r="42" spans="1:17" s="114" customFormat="1" ht="17.399999999999999" x14ac:dyDescent="0.3">
      <c r="A42" s="121"/>
      <c r="B42" s="121"/>
      <c r="C42" s="121"/>
      <c r="D42" s="118"/>
      <c r="E42" s="118"/>
      <c r="F42" s="118"/>
      <c r="G42" s="122"/>
      <c r="H42" s="122"/>
      <c r="I42" s="118"/>
      <c r="J42" s="120"/>
      <c r="K42" s="120"/>
      <c r="L42" s="120"/>
      <c r="M42" s="120"/>
      <c r="N42" s="120"/>
      <c r="O42" s="120"/>
    </row>
    <row r="43" spans="1:17" s="114" customFormat="1" ht="17.399999999999999" x14ac:dyDescent="0.3">
      <c r="A43" s="121"/>
      <c r="B43" s="121"/>
      <c r="C43" s="121"/>
      <c r="D43" s="118"/>
      <c r="E43" s="118"/>
      <c r="F43" s="118"/>
      <c r="G43" s="122"/>
      <c r="H43" s="122"/>
      <c r="I43" s="118"/>
      <c r="J43" s="120"/>
      <c r="K43" s="120"/>
      <c r="L43" s="120"/>
      <c r="M43" s="120"/>
      <c r="N43" s="120"/>
      <c r="O43" s="120"/>
    </row>
    <row r="44" spans="1:17" s="114" customFormat="1" ht="21.75" customHeight="1" x14ac:dyDescent="0.3">
      <c r="A44" s="121"/>
      <c r="B44" s="121"/>
      <c r="C44" s="121"/>
      <c r="D44" s="169"/>
      <c r="E44" s="169"/>
      <c r="F44" s="169"/>
      <c r="G44" s="169"/>
      <c r="H44" s="122"/>
      <c r="I44" s="118"/>
      <c r="J44" s="120"/>
      <c r="K44" s="120"/>
      <c r="L44" s="120"/>
      <c r="M44" s="120"/>
      <c r="N44" s="120"/>
      <c r="O44" s="120"/>
    </row>
    <row r="45" spans="1:17" s="114" customFormat="1" ht="17.399999999999999" x14ac:dyDescent="0.3">
      <c r="A45" s="121"/>
      <c r="B45" s="121"/>
      <c r="C45" s="121"/>
      <c r="D45" s="167" t="s">
        <v>237</v>
      </c>
      <c r="E45" s="167"/>
      <c r="F45" s="167"/>
      <c r="G45" s="167"/>
      <c r="H45" s="122"/>
      <c r="I45" s="118"/>
      <c r="J45" s="120"/>
      <c r="K45" s="120"/>
      <c r="L45" s="120"/>
      <c r="M45" s="120"/>
      <c r="N45" s="120"/>
      <c r="O45" s="120"/>
    </row>
    <row r="46" spans="1:17" s="114" customFormat="1" ht="17.399999999999999" x14ac:dyDescent="0.3">
      <c r="A46" s="121"/>
      <c r="B46" s="121"/>
      <c r="C46" s="121"/>
      <c r="D46" s="168" t="s">
        <v>148</v>
      </c>
      <c r="E46" s="168"/>
      <c r="F46" s="168"/>
      <c r="G46" s="168"/>
      <c r="H46" s="122"/>
      <c r="I46" s="118"/>
      <c r="J46" s="120"/>
      <c r="K46" s="120"/>
      <c r="L46" s="120"/>
      <c r="M46" s="120"/>
      <c r="N46" s="120"/>
      <c r="O46" s="120"/>
    </row>
    <row r="47" spans="1:17" ht="20.100000000000001" customHeight="1" x14ac:dyDescent="0.25">
      <c r="B47" s="14"/>
      <c r="C47" s="15"/>
      <c r="D47" s="100"/>
      <c r="E47" s="74"/>
      <c r="F47" s="74"/>
      <c r="G47" s="74"/>
      <c r="H47" s="74"/>
      <c r="I47" s="74"/>
      <c r="J47" s="100"/>
      <c r="K47" s="100"/>
      <c r="L47" s="100"/>
      <c r="M47" s="74"/>
      <c r="N47" s="74"/>
      <c r="O47" s="75"/>
      <c r="Q47" s="60"/>
    </row>
    <row r="48" spans="1:17" ht="11.4" x14ac:dyDescent="0.2">
      <c r="D48" s="59"/>
      <c r="E48" s="24"/>
      <c r="K48" s="59"/>
      <c r="L48" s="59"/>
      <c r="M48" s="60"/>
      <c r="N48" s="59"/>
    </row>
    <row r="49" spans="2:15" ht="11.4" x14ac:dyDescent="0.2">
      <c r="D49" s="59"/>
      <c r="E49" s="24"/>
      <c r="K49" s="59"/>
      <c r="L49" s="59"/>
      <c r="M49" s="60"/>
      <c r="N49" s="59"/>
    </row>
    <row r="50" spans="2:15" ht="11.4" x14ac:dyDescent="0.2">
      <c r="D50" s="59"/>
      <c r="E50" s="24"/>
      <c r="K50" s="59"/>
      <c r="L50" s="59"/>
      <c r="M50" s="60"/>
      <c r="N50" s="59"/>
    </row>
    <row r="51" spans="2:15" ht="11.4" x14ac:dyDescent="0.2">
      <c r="D51" s="59"/>
      <c r="E51" s="24"/>
      <c r="K51" s="59"/>
      <c r="L51" s="59"/>
      <c r="M51" s="60"/>
      <c r="N51" s="59"/>
    </row>
    <row r="52" spans="2:15" ht="11.4" x14ac:dyDescent="0.2">
      <c r="D52" s="59"/>
      <c r="E52" s="24"/>
      <c r="K52" s="59"/>
      <c r="L52" s="59"/>
      <c r="M52" s="60"/>
      <c r="N52" s="59"/>
    </row>
    <row r="53" spans="2:15" ht="11.4" x14ac:dyDescent="0.2">
      <c r="D53" s="59"/>
      <c r="E53" s="24"/>
      <c r="K53" s="59"/>
      <c r="L53" s="59"/>
      <c r="M53" s="60"/>
      <c r="N53" s="59"/>
    </row>
    <row r="54" spans="2:15" ht="11.4" x14ac:dyDescent="0.2">
      <c r="D54" s="59"/>
      <c r="E54" s="24"/>
      <c r="K54" s="59"/>
      <c r="L54" s="59"/>
      <c r="M54" s="60"/>
      <c r="N54" s="59"/>
    </row>
    <row r="55" spans="2:15" ht="11.4" x14ac:dyDescent="0.2">
      <c r="D55" s="59"/>
      <c r="E55" s="24"/>
      <c r="K55" s="59"/>
      <c r="L55" s="59"/>
      <c r="M55" s="60"/>
      <c r="N55" s="59"/>
    </row>
    <row r="56" spans="2:15" ht="11.4" x14ac:dyDescent="0.2">
      <c r="D56" s="59"/>
      <c r="E56" s="24"/>
      <c r="K56" s="59"/>
      <c r="L56" s="59"/>
      <c r="M56" s="60"/>
      <c r="N56" s="59"/>
    </row>
    <row r="57" spans="2:15" ht="13.2" x14ac:dyDescent="0.25">
      <c r="B57" s="181" t="s">
        <v>1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</row>
    <row r="58" spans="2:15" ht="12" x14ac:dyDescent="0.25">
      <c r="B58" s="17"/>
      <c r="C58" s="17" t="s">
        <v>2</v>
      </c>
    </row>
    <row r="59" spans="2:15" ht="12" x14ac:dyDescent="0.25">
      <c r="B59" s="17"/>
      <c r="G59" s="16" t="s">
        <v>3</v>
      </c>
    </row>
    <row r="60" spans="2:15" ht="12" x14ac:dyDescent="0.25">
      <c r="B60" s="17"/>
      <c r="G60" s="16" t="s">
        <v>4</v>
      </c>
    </row>
    <row r="61" spans="2:15" ht="12" x14ac:dyDescent="0.25">
      <c r="B61" s="17"/>
      <c r="G61" s="16" t="s">
        <v>5</v>
      </c>
      <c r="H61" s="18"/>
      <c r="I61" s="18"/>
      <c r="J61" s="18"/>
      <c r="K61" s="18"/>
    </row>
    <row r="62" spans="2:15" ht="13.5" customHeight="1" x14ac:dyDescent="0.25">
      <c r="B62" s="17"/>
      <c r="G62" s="16" t="s">
        <v>6</v>
      </c>
      <c r="H62" s="20" t="s">
        <v>7</v>
      </c>
      <c r="I62" s="19"/>
      <c r="J62" s="19"/>
      <c r="K62" s="19"/>
    </row>
    <row r="63" spans="2:15" ht="13.5" customHeight="1" x14ac:dyDescent="0.2">
      <c r="G63" s="16" t="s">
        <v>8</v>
      </c>
      <c r="H63" s="148" t="str">
        <f>+H8</f>
        <v>Julio-Septiembre 2020</v>
      </c>
      <c r="I63" s="19"/>
      <c r="J63" s="19"/>
      <c r="K63" s="19"/>
    </row>
    <row r="64" spans="2:15" ht="10.199999999999999" thickBot="1" x14ac:dyDescent="0.25">
      <c r="D64" s="23"/>
      <c r="K64" s="24"/>
    </row>
    <row r="65" spans="1:20" ht="24" customHeight="1" thickTop="1" thickBot="1" x14ac:dyDescent="0.25">
      <c r="B65" s="172" t="s">
        <v>21</v>
      </c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4"/>
    </row>
    <row r="66" spans="1:20" ht="41.25" customHeight="1" thickTop="1" thickBot="1" x14ac:dyDescent="0.25">
      <c r="B66" s="175" t="s">
        <v>10</v>
      </c>
      <c r="C66" s="176"/>
      <c r="D66" s="4" t="s">
        <v>11</v>
      </c>
      <c r="E66" s="4" t="str">
        <f>E11</f>
        <v>JULIO</v>
      </c>
      <c r="F66" s="4" t="s">
        <v>11</v>
      </c>
      <c r="G66" s="4" t="str">
        <f>G11</f>
        <v>AGOSTO</v>
      </c>
      <c r="H66" s="4" t="s">
        <v>11</v>
      </c>
      <c r="I66" s="4" t="str">
        <f>I11</f>
        <v>SEPTIEMBRE</v>
      </c>
      <c r="J66" s="177" t="s">
        <v>12</v>
      </c>
      <c r="K66" s="178"/>
      <c r="L66" s="11" t="s">
        <v>13</v>
      </c>
      <c r="M66" s="179" t="s">
        <v>14</v>
      </c>
      <c r="N66" s="180"/>
      <c r="O66" s="13" t="s">
        <v>13</v>
      </c>
    </row>
    <row r="67" spans="1:20" ht="57" customHeight="1" thickBot="1" x14ac:dyDescent="0.25">
      <c r="B67" s="7" t="s">
        <v>15</v>
      </c>
      <c r="C67" s="2" t="s">
        <v>16</v>
      </c>
      <c r="D67" s="71" t="s">
        <v>17</v>
      </c>
      <c r="E67" s="2" t="s">
        <v>18</v>
      </c>
      <c r="F67" s="71" t="s">
        <v>17</v>
      </c>
      <c r="G67" s="2" t="s">
        <v>18</v>
      </c>
      <c r="H67" s="71" t="s">
        <v>17</v>
      </c>
      <c r="I67" s="2" t="s">
        <v>18</v>
      </c>
      <c r="J67" s="71" t="s">
        <v>17</v>
      </c>
      <c r="K67" s="2" t="s">
        <v>18</v>
      </c>
      <c r="L67" s="12" t="s">
        <v>19</v>
      </c>
      <c r="M67" s="72" t="s">
        <v>17</v>
      </c>
      <c r="N67" s="7" t="s">
        <v>18</v>
      </c>
      <c r="O67" s="8" t="s">
        <v>23</v>
      </c>
      <c r="P67" s="3"/>
      <c r="Q67" s="3"/>
      <c r="R67" s="3"/>
      <c r="S67" s="3"/>
      <c r="T67" s="3"/>
    </row>
    <row r="68" spans="1:20" ht="20.100000000000001" customHeight="1" x14ac:dyDescent="0.2">
      <c r="A68" s="73"/>
      <c r="B68" s="99" t="s">
        <v>73</v>
      </c>
      <c r="C68" s="80" t="s">
        <v>92</v>
      </c>
      <c r="D68" s="25">
        <v>5777829.5599999996</v>
      </c>
      <c r="E68" s="67">
        <f>49153791.37/12</f>
        <v>4096149.2808333333</v>
      </c>
      <c r="F68" s="25">
        <v>5555465.6799999997</v>
      </c>
      <c r="G68" s="67">
        <f>+E68</f>
        <v>4096149.2808333333</v>
      </c>
      <c r="H68" s="25">
        <v>5568429.4500000002</v>
      </c>
      <c r="I68" s="67">
        <f>G68</f>
        <v>4096149.2808333333</v>
      </c>
      <c r="J68" s="32">
        <f t="shared" ref="J68:J76" si="11">+D68+F68+H68</f>
        <v>16901724.689999998</v>
      </c>
      <c r="K68" s="32">
        <f>+E68+G68+I68</f>
        <v>12288447.842499999</v>
      </c>
      <c r="L68" s="28">
        <f>+J68/K68*100</f>
        <v>137.54157487282347</v>
      </c>
      <c r="M68" s="153">
        <f>32431029.08+J68</f>
        <v>49332753.769999996</v>
      </c>
      <c r="N68" s="69">
        <v>65591967.189999998</v>
      </c>
      <c r="O68" s="29">
        <f>M68/N68*100</f>
        <v>75.211578312780276</v>
      </c>
      <c r="P68" s="59"/>
      <c r="Q68" s="55"/>
      <c r="R68" s="55"/>
      <c r="S68" s="55"/>
    </row>
    <row r="69" spans="1:20" ht="20.100000000000001" customHeight="1" x14ac:dyDescent="0.2">
      <c r="B69" s="99" t="s">
        <v>74</v>
      </c>
      <c r="C69" s="80" t="s">
        <v>93</v>
      </c>
      <c r="D69" s="81">
        <v>276965.74</v>
      </c>
      <c r="E69" s="63">
        <f t="shared" ref="E69:E100" si="12">N69/12</f>
        <v>1203660.6191666666</v>
      </c>
      <c r="F69" s="81">
        <v>397930.7</v>
      </c>
      <c r="G69" s="81">
        <f>+E69</f>
        <v>1203660.6191666666</v>
      </c>
      <c r="H69" s="81">
        <v>265861.46000000002</v>
      </c>
      <c r="I69" s="63">
        <f t="shared" ref="I69:I100" si="13">G69</f>
        <v>1203660.6191666666</v>
      </c>
      <c r="J69" s="104">
        <f t="shared" si="11"/>
        <v>940757.89999999991</v>
      </c>
      <c r="K69" s="104">
        <f t="shared" ref="K69:K100" si="14">+E69+G69+I69</f>
        <v>3610981.8574999999</v>
      </c>
      <c r="L69" s="28">
        <f t="shared" ref="L69:L100" si="15">+J69/K69*100</f>
        <v>26.052689742709401</v>
      </c>
      <c r="M69" s="154">
        <f>1321370.68+J69</f>
        <v>2262128.58</v>
      </c>
      <c r="N69" s="105">
        <v>14443927.43</v>
      </c>
      <c r="O69" s="106">
        <f t="shared" ref="O69:O100" si="16">M69/N69*100</f>
        <v>15.66145074435617</v>
      </c>
      <c r="P69" s="59"/>
      <c r="Q69" s="55"/>
      <c r="R69" s="55"/>
      <c r="S69" s="55"/>
    </row>
    <row r="70" spans="1:20" ht="20.100000000000001" customHeight="1" x14ac:dyDescent="0.2">
      <c r="A70" s="73"/>
      <c r="B70" s="99" t="s">
        <v>75</v>
      </c>
      <c r="C70" s="80" t="s">
        <v>94</v>
      </c>
      <c r="D70" s="63">
        <v>1415905.64</v>
      </c>
      <c r="E70" s="63">
        <f t="shared" si="12"/>
        <v>1431019.0533333335</v>
      </c>
      <c r="F70" s="63">
        <v>1416535.04</v>
      </c>
      <c r="G70" s="81">
        <f>E70</f>
        <v>1431019.0533333335</v>
      </c>
      <c r="H70" s="63">
        <v>1415882.83</v>
      </c>
      <c r="I70" s="63">
        <f t="shared" si="13"/>
        <v>1431019.0533333335</v>
      </c>
      <c r="J70" s="104">
        <f t="shared" si="11"/>
        <v>4248323.51</v>
      </c>
      <c r="K70" s="104">
        <f t="shared" si="14"/>
        <v>4293057.16</v>
      </c>
      <c r="L70" s="28">
        <f t="shared" si="15"/>
        <v>98.958000130610884</v>
      </c>
      <c r="M70" s="154">
        <f>7942888.55+J70</f>
        <v>12191212.059999999</v>
      </c>
      <c r="N70" s="105">
        <v>17172228.640000001</v>
      </c>
      <c r="O70" s="106">
        <f t="shared" si="16"/>
        <v>70.993767411193744</v>
      </c>
      <c r="Q70" s="55"/>
      <c r="R70" s="55"/>
      <c r="S70" s="55"/>
    </row>
    <row r="71" spans="1:20" ht="20.100000000000001" customHeight="1" x14ac:dyDescent="0.2">
      <c r="B71" s="99" t="s">
        <v>76</v>
      </c>
      <c r="C71" s="80" t="s">
        <v>95</v>
      </c>
      <c r="D71" s="63">
        <v>1999489.4</v>
      </c>
      <c r="E71" s="63">
        <f t="shared" si="12"/>
        <v>1813727.3433333335</v>
      </c>
      <c r="F71" s="63">
        <v>1826931.23</v>
      </c>
      <c r="G71" s="81">
        <f t="shared" ref="G71:G100" si="17">+E71</f>
        <v>1813727.3433333335</v>
      </c>
      <c r="H71" s="63">
        <v>1833018.45</v>
      </c>
      <c r="I71" s="63">
        <f t="shared" si="13"/>
        <v>1813727.3433333335</v>
      </c>
      <c r="J71" s="104">
        <f t="shared" si="11"/>
        <v>5659439.0800000001</v>
      </c>
      <c r="K71" s="104">
        <f t="shared" si="14"/>
        <v>5441182.0300000003</v>
      </c>
      <c r="L71" s="28">
        <f t="shared" si="15"/>
        <v>104.01120655027967</v>
      </c>
      <c r="M71" s="154">
        <f>10611140.37+J71</f>
        <v>16270579.449999999</v>
      </c>
      <c r="N71" s="105">
        <v>21764728.120000001</v>
      </c>
      <c r="O71" s="106">
        <f t="shared" si="16"/>
        <v>74.756640010810287</v>
      </c>
      <c r="Q71" s="55"/>
      <c r="R71" s="55"/>
      <c r="S71" s="55"/>
    </row>
    <row r="72" spans="1:20" ht="20.100000000000001" customHeight="1" x14ac:dyDescent="0.2">
      <c r="B72" s="99" t="s">
        <v>77</v>
      </c>
      <c r="C72" s="80" t="s">
        <v>96</v>
      </c>
      <c r="D72" s="63">
        <v>175453.15</v>
      </c>
      <c r="E72" s="63">
        <f t="shared" si="12"/>
        <v>302447.28333333333</v>
      </c>
      <c r="F72" s="63">
        <v>128711.73</v>
      </c>
      <c r="G72" s="81">
        <f t="shared" si="17"/>
        <v>302447.28333333333</v>
      </c>
      <c r="H72" s="63">
        <v>230266.55</v>
      </c>
      <c r="I72" s="63">
        <f t="shared" si="13"/>
        <v>302447.28333333333</v>
      </c>
      <c r="J72" s="104">
        <f t="shared" si="11"/>
        <v>534431.42999999993</v>
      </c>
      <c r="K72" s="104">
        <f t="shared" si="14"/>
        <v>907341.85</v>
      </c>
      <c r="L72" s="28">
        <f t="shared" si="15"/>
        <v>58.900780339846548</v>
      </c>
      <c r="M72" s="154">
        <f>1412537.63+J72</f>
        <v>1946969.0599999998</v>
      </c>
      <c r="N72" s="105">
        <v>3629367.4</v>
      </c>
      <c r="O72" s="106">
        <f t="shared" si="16"/>
        <v>53.644859983037264</v>
      </c>
      <c r="Q72" s="55"/>
      <c r="R72" s="55"/>
      <c r="S72" s="55"/>
    </row>
    <row r="73" spans="1:20" ht="20.100000000000001" customHeight="1" x14ac:dyDescent="0.2">
      <c r="A73" s="73"/>
      <c r="B73" s="99" t="s">
        <v>78</v>
      </c>
      <c r="C73" s="80" t="s">
        <v>97</v>
      </c>
      <c r="D73" s="63">
        <v>15820.56</v>
      </c>
      <c r="E73" s="63">
        <f t="shared" si="12"/>
        <v>43643.01666666667</v>
      </c>
      <c r="F73" s="63">
        <v>33166.480000000003</v>
      </c>
      <c r="G73" s="81">
        <f t="shared" si="17"/>
        <v>43643.01666666667</v>
      </c>
      <c r="H73" s="63">
        <v>35547.06</v>
      </c>
      <c r="I73" s="63">
        <f t="shared" si="13"/>
        <v>43643.01666666667</v>
      </c>
      <c r="J73" s="104">
        <f t="shared" si="11"/>
        <v>84534.1</v>
      </c>
      <c r="K73" s="104">
        <f t="shared" si="14"/>
        <v>130929.05000000002</v>
      </c>
      <c r="L73" s="28">
        <f t="shared" si="15"/>
        <v>64.564815829642086</v>
      </c>
      <c r="M73" s="154">
        <f>121137.17+J73</f>
        <v>205671.27000000002</v>
      </c>
      <c r="N73" s="105">
        <v>523716.2</v>
      </c>
      <c r="O73" s="106">
        <f t="shared" si="16"/>
        <v>39.271511937190411</v>
      </c>
      <c r="Q73" s="55"/>
      <c r="R73" s="55"/>
      <c r="S73" s="55"/>
    </row>
    <row r="74" spans="1:20" ht="20.100000000000001" customHeight="1" x14ac:dyDescent="0.2">
      <c r="A74" s="73"/>
      <c r="B74" s="99">
        <v>5123</v>
      </c>
      <c r="C74" s="80" t="s">
        <v>112</v>
      </c>
      <c r="D74" s="63">
        <v>0</v>
      </c>
      <c r="E74" s="63">
        <f t="shared" si="12"/>
        <v>17083.333333333332</v>
      </c>
      <c r="F74" s="63">
        <v>20000</v>
      </c>
      <c r="G74" s="81">
        <f t="shared" si="17"/>
        <v>17083.333333333332</v>
      </c>
      <c r="H74" s="63">
        <v>0</v>
      </c>
      <c r="I74" s="63">
        <f t="shared" si="13"/>
        <v>17083.333333333332</v>
      </c>
      <c r="J74" s="104">
        <f t="shared" si="11"/>
        <v>20000</v>
      </c>
      <c r="K74" s="104">
        <f t="shared" si="14"/>
        <v>51250</v>
      </c>
      <c r="L74" s="28">
        <f t="shared" si="15"/>
        <v>39.024390243902438</v>
      </c>
      <c r="M74" s="154">
        <f>20000.01+J74</f>
        <v>40000.009999999995</v>
      </c>
      <c r="N74" s="105">
        <v>205000</v>
      </c>
      <c r="O74" s="106">
        <f t="shared" si="16"/>
        <v>19.512199999999996</v>
      </c>
      <c r="Q74" s="55"/>
      <c r="R74" s="55"/>
      <c r="S74" s="55"/>
    </row>
    <row r="75" spans="1:20" ht="20.100000000000001" customHeight="1" x14ac:dyDescent="0.2">
      <c r="B75" s="99" t="s">
        <v>79</v>
      </c>
      <c r="C75" s="80" t="s">
        <v>98</v>
      </c>
      <c r="D75" s="63">
        <v>52593.87</v>
      </c>
      <c r="E75" s="63">
        <f t="shared" si="12"/>
        <v>394429.75166666665</v>
      </c>
      <c r="F75" s="63">
        <v>1027614.09</v>
      </c>
      <c r="G75" s="81">
        <f t="shared" si="17"/>
        <v>394429.75166666665</v>
      </c>
      <c r="H75" s="63">
        <v>703629.51</v>
      </c>
      <c r="I75" s="63">
        <f t="shared" si="13"/>
        <v>394429.75166666665</v>
      </c>
      <c r="J75" s="104">
        <f t="shared" si="11"/>
        <v>1783837.47</v>
      </c>
      <c r="K75" s="104">
        <f t="shared" si="14"/>
        <v>1183289.2549999999</v>
      </c>
      <c r="L75" s="28">
        <f t="shared" si="15"/>
        <v>150.75244387307484</v>
      </c>
      <c r="M75" s="154">
        <f>590964.96+J75</f>
        <v>2374802.4299999997</v>
      </c>
      <c r="N75" s="105">
        <v>4733157.0199999996</v>
      </c>
      <c r="O75" s="106">
        <f t="shared" si="16"/>
        <v>50.173751260844504</v>
      </c>
      <c r="Q75" s="55"/>
      <c r="R75" s="55"/>
      <c r="S75" s="55"/>
    </row>
    <row r="76" spans="1:20" ht="20.100000000000001" customHeight="1" x14ac:dyDescent="0.2">
      <c r="B76" s="99">
        <v>5125</v>
      </c>
      <c r="C76" s="80" t="s">
        <v>113</v>
      </c>
      <c r="D76" s="63">
        <v>8615.44</v>
      </c>
      <c r="E76" s="63">
        <f t="shared" si="12"/>
        <v>31083.333333333332</v>
      </c>
      <c r="F76" s="63">
        <v>7361.89</v>
      </c>
      <c r="G76" s="81">
        <f t="shared" si="17"/>
        <v>31083.333333333332</v>
      </c>
      <c r="H76" s="63">
        <v>0</v>
      </c>
      <c r="I76" s="63">
        <f t="shared" si="13"/>
        <v>31083.333333333332</v>
      </c>
      <c r="J76" s="104">
        <f t="shared" si="11"/>
        <v>15977.330000000002</v>
      </c>
      <c r="K76" s="104">
        <f t="shared" si="14"/>
        <v>93250</v>
      </c>
      <c r="L76" s="28">
        <f t="shared" si="15"/>
        <v>17.133865951742631</v>
      </c>
      <c r="M76" s="154">
        <f>156383.86+J76</f>
        <v>172361.19</v>
      </c>
      <c r="N76" s="105">
        <v>373000</v>
      </c>
      <c r="O76" s="106">
        <f t="shared" si="16"/>
        <v>46.209434316353885</v>
      </c>
      <c r="Q76" s="55"/>
      <c r="R76" s="55"/>
      <c r="S76" s="55"/>
    </row>
    <row r="77" spans="1:20" ht="20.100000000000001" customHeight="1" x14ac:dyDescent="0.2">
      <c r="B77" s="99" t="s">
        <v>80</v>
      </c>
      <c r="C77" s="80" t="s">
        <v>99</v>
      </c>
      <c r="D77" s="63">
        <v>674041.78</v>
      </c>
      <c r="E77" s="63">
        <f t="shared" si="12"/>
        <v>768161.16666666663</v>
      </c>
      <c r="F77" s="63">
        <v>833030.06</v>
      </c>
      <c r="G77" s="81">
        <f t="shared" si="17"/>
        <v>768161.16666666663</v>
      </c>
      <c r="H77" s="63">
        <v>776028.62</v>
      </c>
      <c r="I77" s="63">
        <f t="shared" si="13"/>
        <v>768161.16666666663</v>
      </c>
      <c r="J77" s="104">
        <f t="shared" ref="J77:J100" si="18">+D77+F77+H77</f>
        <v>2283100.46</v>
      </c>
      <c r="K77" s="104">
        <f t="shared" si="14"/>
        <v>2304483.5</v>
      </c>
      <c r="L77" s="28">
        <f t="shared" si="15"/>
        <v>99.07211138634753</v>
      </c>
      <c r="M77" s="154">
        <f>4732681.28+J77</f>
        <v>7015781.7400000002</v>
      </c>
      <c r="N77" s="105">
        <v>9217934</v>
      </c>
      <c r="O77" s="106">
        <f t="shared" si="16"/>
        <v>76.110132053451466</v>
      </c>
      <c r="Q77" s="55"/>
      <c r="R77" s="55"/>
      <c r="S77" s="55"/>
    </row>
    <row r="78" spans="1:20" ht="20.100000000000001" customHeight="1" x14ac:dyDescent="0.2">
      <c r="A78" s="73"/>
      <c r="B78" s="99" t="s">
        <v>81</v>
      </c>
      <c r="C78" s="80" t="s">
        <v>100</v>
      </c>
      <c r="D78" s="63">
        <v>81720.66</v>
      </c>
      <c r="E78" s="63">
        <f t="shared" si="12"/>
        <v>240456.78166666665</v>
      </c>
      <c r="F78" s="63">
        <v>12745.49</v>
      </c>
      <c r="G78" s="81">
        <f t="shared" si="17"/>
        <v>240456.78166666665</v>
      </c>
      <c r="H78" s="63">
        <v>68003.14</v>
      </c>
      <c r="I78" s="63">
        <f>G78</f>
        <v>240456.78166666665</v>
      </c>
      <c r="J78" s="104">
        <f t="shared" si="18"/>
        <v>162469.29</v>
      </c>
      <c r="K78" s="104">
        <f t="shared" si="14"/>
        <v>721370.34499999997</v>
      </c>
      <c r="L78" s="28">
        <f t="shared" si="15"/>
        <v>22.522313417250334</v>
      </c>
      <c r="M78" s="154">
        <f>104040.35+J78</f>
        <v>266509.64</v>
      </c>
      <c r="N78" s="105">
        <v>2885481.38</v>
      </c>
      <c r="O78" s="106">
        <f t="shared" si="16"/>
        <v>9.2362280293071937</v>
      </c>
      <c r="Q78" s="55"/>
      <c r="R78" s="55"/>
      <c r="S78" s="55"/>
    </row>
    <row r="79" spans="1:20" ht="20.100000000000001" customHeight="1" x14ac:dyDescent="0.2">
      <c r="A79" s="73"/>
      <c r="B79" s="99">
        <v>5128</v>
      </c>
      <c r="C79" s="80" t="s">
        <v>114</v>
      </c>
      <c r="D79" s="63">
        <v>0</v>
      </c>
      <c r="E79" s="63">
        <f t="shared" si="12"/>
        <v>23083.333333333332</v>
      </c>
      <c r="F79" s="63">
        <v>0</v>
      </c>
      <c r="G79" s="81">
        <f t="shared" si="17"/>
        <v>23083.333333333332</v>
      </c>
      <c r="H79" s="63">
        <v>0</v>
      </c>
      <c r="I79" s="63">
        <f t="shared" si="13"/>
        <v>23083.333333333332</v>
      </c>
      <c r="J79" s="104">
        <f t="shared" si="18"/>
        <v>0</v>
      </c>
      <c r="K79" s="104">
        <f t="shared" si="14"/>
        <v>69250</v>
      </c>
      <c r="L79" s="28">
        <f t="shared" si="15"/>
        <v>0</v>
      </c>
      <c r="M79" s="154">
        <f>0+J79</f>
        <v>0</v>
      </c>
      <c r="N79" s="105">
        <v>277000</v>
      </c>
      <c r="O79" s="106">
        <f t="shared" si="16"/>
        <v>0</v>
      </c>
      <c r="Q79" s="55"/>
      <c r="R79" s="55"/>
      <c r="S79" s="55"/>
    </row>
    <row r="80" spans="1:20" ht="20.100000000000001" customHeight="1" x14ac:dyDescent="0.2">
      <c r="B80" s="99" t="s">
        <v>82</v>
      </c>
      <c r="C80" s="80" t="s">
        <v>101</v>
      </c>
      <c r="D80" s="63">
        <v>297646.09999999998</v>
      </c>
      <c r="E80" s="63">
        <f t="shared" si="12"/>
        <v>275875</v>
      </c>
      <c r="F80" s="63">
        <v>395445.9</v>
      </c>
      <c r="G80" s="81">
        <f t="shared" si="17"/>
        <v>275875</v>
      </c>
      <c r="H80" s="63">
        <v>204208.2</v>
      </c>
      <c r="I80" s="63">
        <f t="shared" si="13"/>
        <v>275875</v>
      </c>
      <c r="J80" s="104">
        <f t="shared" si="18"/>
        <v>897300.2</v>
      </c>
      <c r="K80" s="104">
        <f t="shared" si="14"/>
        <v>827625</v>
      </c>
      <c r="L80" s="28">
        <f t="shared" si="15"/>
        <v>108.41869204047727</v>
      </c>
      <c r="M80" s="154">
        <f>1543163.13+J80</f>
        <v>2440463.33</v>
      </c>
      <c r="N80" s="105">
        <v>3310500</v>
      </c>
      <c r="O80" s="106">
        <f t="shared" si="16"/>
        <v>73.718874188189105</v>
      </c>
      <c r="Q80" s="55"/>
      <c r="R80" s="55"/>
      <c r="S80" s="55"/>
    </row>
    <row r="81" spans="1:19" ht="20.100000000000001" customHeight="1" x14ac:dyDescent="0.2">
      <c r="B81" s="99" t="s">
        <v>83</v>
      </c>
      <c r="C81" s="80" t="s">
        <v>102</v>
      </c>
      <c r="D81" s="63">
        <v>431507.63</v>
      </c>
      <c r="E81" s="63">
        <f t="shared" si="12"/>
        <v>889403.05666666664</v>
      </c>
      <c r="F81" s="63">
        <v>1232788.1299999999</v>
      </c>
      <c r="G81" s="81">
        <f t="shared" si="17"/>
        <v>889403.05666666664</v>
      </c>
      <c r="H81" s="63">
        <v>834795.9</v>
      </c>
      <c r="I81" s="63">
        <f t="shared" si="13"/>
        <v>889403.05666666664</v>
      </c>
      <c r="J81" s="104">
        <f t="shared" si="18"/>
        <v>2499091.6599999997</v>
      </c>
      <c r="K81" s="104">
        <f t="shared" si="14"/>
        <v>2668209.17</v>
      </c>
      <c r="L81" s="28">
        <f t="shared" si="15"/>
        <v>93.661759658820145</v>
      </c>
      <c r="M81" s="154">
        <f>4999993.25+J81</f>
        <v>7499084.9100000001</v>
      </c>
      <c r="N81" s="105">
        <v>10672836.68</v>
      </c>
      <c r="O81" s="106">
        <f t="shared" si="16"/>
        <v>70.263278028536263</v>
      </c>
      <c r="Q81" s="55"/>
      <c r="R81" s="55"/>
      <c r="S81" s="55"/>
    </row>
    <row r="82" spans="1:19" ht="20.100000000000001" customHeight="1" x14ac:dyDescent="0.2">
      <c r="A82" s="73"/>
      <c r="B82" s="99" t="s">
        <v>84</v>
      </c>
      <c r="C82" s="80" t="s">
        <v>103</v>
      </c>
      <c r="D82" s="63">
        <v>19655.04</v>
      </c>
      <c r="E82" s="63">
        <f t="shared" si="12"/>
        <v>33013.333333333336</v>
      </c>
      <c r="F82" s="63">
        <v>14783.04</v>
      </c>
      <c r="G82" s="81">
        <f t="shared" si="17"/>
        <v>33013.333333333336</v>
      </c>
      <c r="H82" s="63">
        <v>88636.02</v>
      </c>
      <c r="I82" s="63">
        <f t="shared" si="13"/>
        <v>33013.333333333336</v>
      </c>
      <c r="J82" s="104">
        <f t="shared" si="18"/>
        <v>123074.1</v>
      </c>
      <c r="K82" s="104">
        <f t="shared" si="14"/>
        <v>99040</v>
      </c>
      <c r="L82" s="28">
        <f t="shared" si="15"/>
        <v>124.26706381260098</v>
      </c>
      <c r="M82" s="154">
        <f>796015.95+J82</f>
        <v>919090.04999999993</v>
      </c>
      <c r="N82" s="105">
        <v>396160</v>
      </c>
      <c r="O82" s="106">
        <f t="shared" si="16"/>
        <v>231.99970971324717</v>
      </c>
      <c r="Q82" s="55"/>
      <c r="R82" s="55"/>
      <c r="S82" s="55"/>
    </row>
    <row r="83" spans="1:19" ht="20.100000000000001" customHeight="1" x14ac:dyDescent="0.2">
      <c r="B83" s="99" t="s">
        <v>85</v>
      </c>
      <c r="C83" s="80" t="s">
        <v>104</v>
      </c>
      <c r="D83" s="63">
        <v>1082113.6200000001</v>
      </c>
      <c r="E83" s="63">
        <f t="shared" si="12"/>
        <v>1560489.5466666666</v>
      </c>
      <c r="F83" s="63">
        <v>985387.26</v>
      </c>
      <c r="G83" s="81">
        <f t="shared" si="17"/>
        <v>1560489.5466666666</v>
      </c>
      <c r="H83" s="63">
        <v>1252861.42</v>
      </c>
      <c r="I83" s="63">
        <f t="shared" si="13"/>
        <v>1560489.5466666666</v>
      </c>
      <c r="J83" s="104">
        <f t="shared" si="18"/>
        <v>3320362.3</v>
      </c>
      <c r="K83" s="104">
        <f t="shared" si="14"/>
        <v>4681468.6399999997</v>
      </c>
      <c r="L83" s="28">
        <f t="shared" si="15"/>
        <v>70.925655073917142</v>
      </c>
      <c r="M83" s="154">
        <f>8055063.63+J83</f>
        <v>11375425.93</v>
      </c>
      <c r="N83" s="105">
        <v>18725874.559999999</v>
      </c>
      <c r="O83" s="106">
        <f t="shared" si="16"/>
        <v>60.747100988804235</v>
      </c>
      <c r="Q83" s="55"/>
      <c r="R83" s="55"/>
      <c r="S83" s="55"/>
    </row>
    <row r="84" spans="1:19" ht="20.100000000000001" customHeight="1" x14ac:dyDescent="0.2">
      <c r="B84" s="99" t="s">
        <v>86</v>
      </c>
      <c r="C84" s="80" t="s">
        <v>105</v>
      </c>
      <c r="D84" s="63">
        <v>4970.6000000000004</v>
      </c>
      <c r="E84" s="63">
        <f t="shared" si="12"/>
        <v>100815.89166666666</v>
      </c>
      <c r="F84" s="63">
        <v>16275.98</v>
      </c>
      <c r="G84" s="81">
        <f t="shared" si="17"/>
        <v>100815.89166666666</v>
      </c>
      <c r="H84" s="63">
        <v>31742.400000000001</v>
      </c>
      <c r="I84" s="63">
        <f t="shared" si="13"/>
        <v>100815.89166666666</v>
      </c>
      <c r="J84" s="104">
        <f t="shared" si="18"/>
        <v>52988.98</v>
      </c>
      <c r="K84" s="104">
        <f t="shared" si="14"/>
        <v>302447.67499999999</v>
      </c>
      <c r="L84" s="28">
        <f t="shared" si="15"/>
        <v>17.520048715864654</v>
      </c>
      <c r="M84" s="154">
        <f>977129.47+J84</f>
        <v>1030118.45</v>
      </c>
      <c r="N84" s="105">
        <v>1209790.7</v>
      </c>
      <c r="O84" s="106">
        <f t="shared" si="16"/>
        <v>85.148484775093735</v>
      </c>
      <c r="Q84" s="55"/>
      <c r="R84" s="55"/>
      <c r="S84" s="55"/>
    </row>
    <row r="85" spans="1:19" ht="20.100000000000001" customHeight="1" x14ac:dyDescent="0.2">
      <c r="B85" s="99" t="s">
        <v>87</v>
      </c>
      <c r="C85" s="80" t="s">
        <v>106</v>
      </c>
      <c r="D85" s="63">
        <v>315546.43</v>
      </c>
      <c r="E85" s="63">
        <f t="shared" si="12"/>
        <v>449676.23583333334</v>
      </c>
      <c r="F85" s="63">
        <v>284926.57</v>
      </c>
      <c r="G85" s="81">
        <f t="shared" si="17"/>
        <v>449676.23583333334</v>
      </c>
      <c r="H85" s="63">
        <v>498448.7</v>
      </c>
      <c r="I85" s="63">
        <f>G85</f>
        <v>449676.23583333334</v>
      </c>
      <c r="J85" s="104">
        <f t="shared" si="18"/>
        <v>1098921.7</v>
      </c>
      <c r="K85" s="104">
        <f t="shared" si="14"/>
        <v>1349028.7075</v>
      </c>
      <c r="L85" s="28">
        <f t="shared" si="15"/>
        <v>81.460216071791777</v>
      </c>
      <c r="M85" s="154">
        <f>1820511.34+J85</f>
        <v>2919433.04</v>
      </c>
      <c r="N85" s="105">
        <v>5396114.8300000001</v>
      </c>
      <c r="O85" s="106">
        <f t="shared" si="16"/>
        <v>54.102500261285215</v>
      </c>
      <c r="Q85" s="55"/>
      <c r="R85" s="55"/>
      <c r="S85" s="55"/>
    </row>
    <row r="86" spans="1:19" ht="20.100000000000001" customHeight="1" x14ac:dyDescent="0.2">
      <c r="B86" s="99" t="s">
        <v>88</v>
      </c>
      <c r="C86" s="80" t="s">
        <v>107</v>
      </c>
      <c r="D86" s="63">
        <v>2598.4</v>
      </c>
      <c r="E86" s="63">
        <f t="shared" si="12"/>
        <v>25333.333333333332</v>
      </c>
      <c r="F86" s="63">
        <v>5196.8</v>
      </c>
      <c r="G86" s="81">
        <f t="shared" si="17"/>
        <v>25333.333333333332</v>
      </c>
      <c r="H86" s="63">
        <v>0</v>
      </c>
      <c r="I86" s="63">
        <f t="shared" si="13"/>
        <v>25333.333333333332</v>
      </c>
      <c r="J86" s="104">
        <f t="shared" si="18"/>
        <v>7795.2000000000007</v>
      </c>
      <c r="K86" s="104">
        <f t="shared" si="14"/>
        <v>76000</v>
      </c>
      <c r="L86" s="28">
        <f t="shared" si="15"/>
        <v>10.256842105263159</v>
      </c>
      <c r="M86" s="154">
        <f>8251.43+J86</f>
        <v>16046.630000000001</v>
      </c>
      <c r="N86" s="105">
        <v>304000</v>
      </c>
      <c r="O86" s="106">
        <f t="shared" si="16"/>
        <v>5.2784967105263165</v>
      </c>
      <c r="Q86" s="55"/>
      <c r="R86" s="55"/>
      <c r="S86" s="55"/>
    </row>
    <row r="87" spans="1:19" ht="20.100000000000001" customHeight="1" x14ac:dyDescent="0.2">
      <c r="B87" s="99" t="s">
        <v>89</v>
      </c>
      <c r="C87" s="80" t="s">
        <v>108</v>
      </c>
      <c r="D87" s="63">
        <v>0</v>
      </c>
      <c r="E87" s="63">
        <f t="shared" si="12"/>
        <v>20000</v>
      </c>
      <c r="F87" s="63">
        <v>2418.48</v>
      </c>
      <c r="G87" s="81">
        <f t="shared" si="17"/>
        <v>20000</v>
      </c>
      <c r="H87" s="63">
        <v>9620.1200000000008</v>
      </c>
      <c r="I87" s="63">
        <f t="shared" si="13"/>
        <v>20000</v>
      </c>
      <c r="J87" s="104">
        <f t="shared" si="18"/>
        <v>12038.6</v>
      </c>
      <c r="K87" s="104">
        <f t="shared" si="14"/>
        <v>60000</v>
      </c>
      <c r="L87" s="28">
        <f t="shared" si="15"/>
        <v>20.064333333333334</v>
      </c>
      <c r="M87" s="154">
        <f>61312.78+J87</f>
        <v>73351.38</v>
      </c>
      <c r="N87" s="105">
        <v>240000</v>
      </c>
      <c r="O87" s="106">
        <f t="shared" si="16"/>
        <v>30.563075000000001</v>
      </c>
      <c r="Q87" s="55"/>
      <c r="R87" s="55"/>
      <c r="S87" s="55"/>
    </row>
    <row r="88" spans="1:19" ht="20.100000000000001" customHeight="1" x14ac:dyDescent="0.2">
      <c r="B88" s="99" t="s">
        <v>90</v>
      </c>
      <c r="C88" s="80" t="s">
        <v>109</v>
      </c>
      <c r="D88" s="63">
        <v>3000</v>
      </c>
      <c r="E88" s="63">
        <f t="shared" si="12"/>
        <v>298218.97916666669</v>
      </c>
      <c r="F88" s="63">
        <v>614</v>
      </c>
      <c r="G88" s="81">
        <f t="shared" si="17"/>
        <v>298218.97916666669</v>
      </c>
      <c r="H88" s="63">
        <v>151630.63</v>
      </c>
      <c r="I88" s="63">
        <f t="shared" si="13"/>
        <v>298218.97916666669</v>
      </c>
      <c r="J88" s="104">
        <f t="shared" si="18"/>
        <v>155244.63</v>
      </c>
      <c r="K88" s="104">
        <f t="shared" si="14"/>
        <v>894656.9375</v>
      </c>
      <c r="L88" s="28">
        <f t="shared" si="15"/>
        <v>17.35242007219108</v>
      </c>
      <c r="M88" s="154">
        <f>219908.1+J88</f>
        <v>375152.73</v>
      </c>
      <c r="N88" s="105">
        <v>3578627.75</v>
      </c>
      <c r="O88" s="106">
        <f t="shared" si="16"/>
        <v>10.483144831143724</v>
      </c>
      <c r="Q88" s="55"/>
      <c r="R88" s="55"/>
      <c r="S88" s="55"/>
    </row>
    <row r="89" spans="1:19" ht="20.100000000000001" customHeight="1" x14ac:dyDescent="0.2">
      <c r="B89" s="99" t="s">
        <v>91</v>
      </c>
      <c r="C89" s="80" t="s">
        <v>110</v>
      </c>
      <c r="D89" s="33">
        <v>175967.82</v>
      </c>
      <c r="E89" s="63">
        <f t="shared" si="12"/>
        <v>203039.32833333334</v>
      </c>
      <c r="F89" s="63">
        <v>159534</v>
      </c>
      <c r="G89" s="81">
        <f t="shared" si="17"/>
        <v>203039.32833333334</v>
      </c>
      <c r="H89" s="33">
        <v>179301</v>
      </c>
      <c r="I89" s="63">
        <f t="shared" si="13"/>
        <v>203039.32833333334</v>
      </c>
      <c r="J89" s="104">
        <f t="shared" si="18"/>
        <v>514802.82</v>
      </c>
      <c r="K89" s="104">
        <f t="shared" si="14"/>
        <v>609117.98499999999</v>
      </c>
      <c r="L89" s="28">
        <f t="shared" si="15"/>
        <v>84.516108976818344</v>
      </c>
      <c r="M89" s="154">
        <f>909771.69+J89</f>
        <v>1424574.51</v>
      </c>
      <c r="N89" s="105">
        <v>2436471.94</v>
      </c>
      <c r="O89" s="106">
        <f t="shared" si="16"/>
        <v>58.468742718210834</v>
      </c>
      <c r="Q89" s="55"/>
      <c r="R89" s="55"/>
      <c r="S89" s="55"/>
    </row>
    <row r="90" spans="1:19" ht="20.100000000000001" customHeight="1" x14ac:dyDescent="0.2">
      <c r="B90" s="99">
        <v>5210</v>
      </c>
      <c r="C90" s="80" t="s">
        <v>115</v>
      </c>
      <c r="D90" s="33">
        <v>0</v>
      </c>
      <c r="E90" s="63">
        <f t="shared" si="12"/>
        <v>559091.21583333332</v>
      </c>
      <c r="F90" s="63">
        <v>600000</v>
      </c>
      <c r="G90" s="81">
        <f t="shared" si="17"/>
        <v>559091.21583333332</v>
      </c>
      <c r="H90" s="33">
        <v>0</v>
      </c>
      <c r="I90" s="63">
        <f>G90</f>
        <v>559091.21583333332</v>
      </c>
      <c r="J90" s="104">
        <f t="shared" si="18"/>
        <v>600000</v>
      </c>
      <c r="K90" s="104">
        <f t="shared" si="14"/>
        <v>1677273.6475</v>
      </c>
      <c r="L90" s="28">
        <f t="shared" si="15"/>
        <v>35.772338097263287</v>
      </c>
      <c r="M90" s="154">
        <f>3209094.59+J90</f>
        <v>3809094.59</v>
      </c>
      <c r="N90" s="105">
        <v>6709094.5899999999</v>
      </c>
      <c r="O90" s="106">
        <f t="shared" si="16"/>
        <v>56.77509146580686</v>
      </c>
      <c r="Q90" s="55"/>
      <c r="R90" s="55"/>
      <c r="S90" s="55"/>
    </row>
    <row r="91" spans="1:19" ht="20.100000000000001" customHeight="1" x14ac:dyDescent="0.2">
      <c r="B91" s="99">
        <v>5230</v>
      </c>
      <c r="C91" s="80" t="s">
        <v>332</v>
      </c>
      <c r="D91" s="33">
        <v>0</v>
      </c>
      <c r="E91" s="63">
        <f t="shared" si="12"/>
        <v>125000</v>
      </c>
      <c r="F91" s="63">
        <v>0</v>
      </c>
      <c r="G91" s="81">
        <f t="shared" si="17"/>
        <v>125000</v>
      </c>
      <c r="H91" s="33">
        <v>0</v>
      </c>
      <c r="I91" s="63">
        <f>G91</f>
        <v>125000</v>
      </c>
      <c r="J91" s="104">
        <f t="shared" si="18"/>
        <v>0</v>
      </c>
      <c r="K91" s="104">
        <f t="shared" si="14"/>
        <v>375000</v>
      </c>
      <c r="L91" s="28">
        <f t="shared" si="15"/>
        <v>0</v>
      </c>
      <c r="M91" s="154">
        <f>0+J91</f>
        <v>0</v>
      </c>
      <c r="N91" s="105">
        <v>1500000</v>
      </c>
      <c r="O91" s="106">
        <f t="shared" si="16"/>
        <v>0</v>
      </c>
      <c r="Q91" s="55"/>
      <c r="R91" s="55"/>
      <c r="S91" s="55"/>
    </row>
    <row r="92" spans="1:19" ht="20.100000000000001" customHeight="1" x14ac:dyDescent="0.2">
      <c r="B92" s="99">
        <v>5243</v>
      </c>
      <c r="C92" s="80" t="s">
        <v>116</v>
      </c>
      <c r="D92" s="33">
        <v>438527.48</v>
      </c>
      <c r="E92" s="63">
        <f t="shared" si="12"/>
        <v>1525478.3616666666</v>
      </c>
      <c r="F92" s="33">
        <v>91203.45</v>
      </c>
      <c r="G92" s="81">
        <f t="shared" si="17"/>
        <v>1525478.3616666666</v>
      </c>
      <c r="H92" s="33">
        <v>1333264.3700000001</v>
      </c>
      <c r="I92" s="63">
        <f t="shared" si="13"/>
        <v>1525478.3616666666</v>
      </c>
      <c r="J92" s="104">
        <f t="shared" si="18"/>
        <v>1862995.3</v>
      </c>
      <c r="K92" s="104">
        <f t="shared" si="14"/>
        <v>4576435.085</v>
      </c>
      <c r="L92" s="28">
        <f t="shared" si="15"/>
        <v>40.708439328818756</v>
      </c>
      <c r="M92" s="154">
        <f>3460921.52+J92</f>
        <v>5323916.82</v>
      </c>
      <c r="N92" s="105">
        <v>18305740.34</v>
      </c>
      <c r="O92" s="106">
        <f t="shared" si="16"/>
        <v>29.083318790263146</v>
      </c>
      <c r="Q92" s="55"/>
      <c r="R92" s="55"/>
      <c r="S92" s="55"/>
    </row>
    <row r="93" spans="1:19" ht="20.100000000000001" customHeight="1" x14ac:dyDescent="0.2">
      <c r="B93" s="99">
        <v>5251</v>
      </c>
      <c r="C93" s="80" t="s">
        <v>41</v>
      </c>
      <c r="D93" s="33">
        <v>195815.6</v>
      </c>
      <c r="E93" s="63">
        <f t="shared" si="12"/>
        <v>316666.66666666669</v>
      </c>
      <c r="F93" s="33">
        <v>195815.6</v>
      </c>
      <c r="G93" s="81">
        <f t="shared" si="17"/>
        <v>316666.66666666669</v>
      </c>
      <c r="H93" s="33">
        <v>195815.6</v>
      </c>
      <c r="I93" s="63">
        <f t="shared" si="13"/>
        <v>316666.66666666669</v>
      </c>
      <c r="J93" s="104">
        <f t="shared" si="18"/>
        <v>587446.80000000005</v>
      </c>
      <c r="K93" s="104">
        <f t="shared" si="14"/>
        <v>950000</v>
      </c>
      <c r="L93" s="28">
        <f t="shared" si="15"/>
        <v>61.836505263157903</v>
      </c>
      <c r="M93" s="154">
        <f>1148044.94+J93</f>
        <v>1735491.74</v>
      </c>
      <c r="N93" s="105">
        <v>3800000</v>
      </c>
      <c r="O93" s="106">
        <f t="shared" si="16"/>
        <v>45.670835263157898</v>
      </c>
      <c r="Q93" s="55"/>
      <c r="R93" s="55"/>
      <c r="S93" s="55"/>
    </row>
    <row r="94" spans="1:19" ht="20.100000000000001" customHeight="1" x14ac:dyDescent="0.2">
      <c r="B94" s="99">
        <v>5100</v>
      </c>
      <c r="C94" s="80" t="s">
        <v>232</v>
      </c>
      <c r="D94" s="33">
        <v>0</v>
      </c>
      <c r="E94" s="63">
        <f t="shared" si="12"/>
        <v>65158.103333333333</v>
      </c>
      <c r="F94" s="33">
        <v>34112.33</v>
      </c>
      <c r="G94" s="81">
        <f t="shared" si="17"/>
        <v>65158.103333333333</v>
      </c>
      <c r="H94" s="33">
        <v>23365.64</v>
      </c>
      <c r="I94" s="63">
        <f t="shared" si="13"/>
        <v>65158.103333333333</v>
      </c>
      <c r="J94" s="104">
        <f t="shared" si="18"/>
        <v>57477.97</v>
      </c>
      <c r="K94" s="104">
        <f t="shared" si="14"/>
        <v>195474.31</v>
      </c>
      <c r="L94" s="28">
        <f t="shared" si="15"/>
        <v>29.404360092126687</v>
      </c>
      <c r="M94" s="154">
        <f>261012.47+J94</f>
        <v>318490.44</v>
      </c>
      <c r="N94" s="105">
        <v>781897.24</v>
      </c>
      <c r="O94" s="106">
        <f t="shared" si="16"/>
        <v>40.733030340406366</v>
      </c>
      <c r="Q94" s="55"/>
      <c r="R94" s="55"/>
      <c r="S94" s="55"/>
    </row>
    <row r="95" spans="1:19" ht="20.100000000000001" customHeight="1" x14ac:dyDescent="0.2">
      <c r="B95" s="99">
        <v>5200</v>
      </c>
      <c r="C95" s="80" t="s">
        <v>241</v>
      </c>
      <c r="D95" s="33">
        <v>0</v>
      </c>
      <c r="E95" s="63">
        <f t="shared" si="12"/>
        <v>20500</v>
      </c>
      <c r="F95" s="33">
        <v>140110</v>
      </c>
      <c r="G95" s="81">
        <f t="shared" si="17"/>
        <v>20500</v>
      </c>
      <c r="H95" s="33">
        <v>0</v>
      </c>
      <c r="I95" s="63">
        <f t="shared" si="13"/>
        <v>20500</v>
      </c>
      <c r="J95" s="104">
        <f t="shared" si="18"/>
        <v>140110</v>
      </c>
      <c r="K95" s="104">
        <f t="shared" si="14"/>
        <v>61500</v>
      </c>
      <c r="L95" s="28">
        <f t="shared" si="15"/>
        <v>227.82113821138213</v>
      </c>
      <c r="M95" s="154">
        <f>0+J95</f>
        <v>140110</v>
      </c>
      <c r="N95" s="105">
        <v>246000</v>
      </c>
      <c r="O95" s="106">
        <f t="shared" si="16"/>
        <v>56.955284552845534</v>
      </c>
      <c r="Q95" s="55"/>
      <c r="R95" s="55"/>
      <c r="S95" s="55"/>
    </row>
    <row r="96" spans="1:19" ht="20.100000000000001" customHeight="1" x14ac:dyDescent="0.2">
      <c r="B96" s="99">
        <v>5400</v>
      </c>
      <c r="C96" s="80" t="s">
        <v>325</v>
      </c>
      <c r="D96" s="33">
        <v>1500000.01</v>
      </c>
      <c r="E96" s="63">
        <f t="shared" si="12"/>
        <v>284455.66666666669</v>
      </c>
      <c r="F96" s="33">
        <v>0</v>
      </c>
      <c r="G96" s="81">
        <f t="shared" si="17"/>
        <v>284455.66666666669</v>
      </c>
      <c r="H96" s="33">
        <v>1298315.8</v>
      </c>
      <c r="I96" s="63">
        <f t="shared" si="13"/>
        <v>284455.66666666669</v>
      </c>
      <c r="J96" s="104">
        <f t="shared" si="18"/>
        <v>2798315.81</v>
      </c>
      <c r="K96" s="104">
        <f t="shared" si="14"/>
        <v>853367</v>
      </c>
      <c r="L96" s="28">
        <f t="shared" si="15"/>
        <v>327.91469672485579</v>
      </c>
      <c r="M96" s="154">
        <f>0+J96</f>
        <v>2798315.81</v>
      </c>
      <c r="N96" s="105">
        <v>3413468</v>
      </c>
      <c r="O96" s="106">
        <f t="shared" si="16"/>
        <v>81.978674181213947</v>
      </c>
      <c r="Q96" s="55"/>
      <c r="R96" s="55"/>
      <c r="S96" s="55"/>
    </row>
    <row r="97" spans="1:19" ht="20.100000000000001" customHeight="1" x14ac:dyDescent="0.2">
      <c r="B97" s="99">
        <v>5510</v>
      </c>
      <c r="C97" s="80" t="s">
        <v>333</v>
      </c>
      <c r="D97" s="33">
        <v>0</v>
      </c>
      <c r="E97" s="63">
        <f t="shared" si="12"/>
        <v>150000</v>
      </c>
      <c r="F97" s="33">
        <v>0</v>
      </c>
      <c r="G97" s="81">
        <f t="shared" si="17"/>
        <v>150000</v>
      </c>
      <c r="H97" s="33">
        <v>1800000</v>
      </c>
      <c r="I97" s="63">
        <f t="shared" si="13"/>
        <v>150000</v>
      </c>
      <c r="J97" s="104">
        <f t="shared" si="18"/>
        <v>1800000</v>
      </c>
      <c r="K97" s="104">
        <f t="shared" si="14"/>
        <v>450000</v>
      </c>
      <c r="L97" s="28">
        <f t="shared" si="15"/>
        <v>400</v>
      </c>
      <c r="M97" s="154">
        <f>0+J97</f>
        <v>1800000</v>
      </c>
      <c r="N97" s="105">
        <v>1800000</v>
      </c>
      <c r="O97" s="106">
        <f t="shared" si="16"/>
        <v>100</v>
      </c>
      <c r="Q97" s="55"/>
      <c r="R97" s="55"/>
      <c r="S97" s="55"/>
    </row>
    <row r="98" spans="1:19" ht="20.100000000000001" customHeight="1" x14ac:dyDescent="0.2">
      <c r="B98" s="99">
        <v>5600</v>
      </c>
      <c r="C98" s="80" t="s">
        <v>227</v>
      </c>
      <c r="D98" s="33">
        <v>0</v>
      </c>
      <c r="E98" s="63">
        <f t="shared" si="12"/>
        <v>73817</v>
      </c>
      <c r="F98" s="33">
        <v>0</v>
      </c>
      <c r="G98" s="81">
        <f t="shared" si="17"/>
        <v>73817</v>
      </c>
      <c r="H98" s="33">
        <v>18000</v>
      </c>
      <c r="I98" s="63">
        <f t="shared" si="13"/>
        <v>73817</v>
      </c>
      <c r="J98" s="104">
        <f t="shared" si="18"/>
        <v>18000</v>
      </c>
      <c r="K98" s="104">
        <f t="shared" si="14"/>
        <v>221451</v>
      </c>
      <c r="L98" s="28">
        <f t="shared" si="15"/>
        <v>8.1282089491580525</v>
      </c>
      <c r="M98" s="154">
        <f>205992.86+J98</f>
        <v>223992.86</v>
      </c>
      <c r="N98" s="105">
        <v>885804</v>
      </c>
      <c r="O98" s="106">
        <f t="shared" si="16"/>
        <v>25.286955127770927</v>
      </c>
      <c r="Q98" s="55"/>
      <c r="R98" s="55"/>
      <c r="S98" s="55"/>
    </row>
    <row r="99" spans="1:19" ht="20.100000000000001" customHeight="1" x14ac:dyDescent="0.2">
      <c r="B99" s="99">
        <v>6100</v>
      </c>
      <c r="C99" s="80" t="s">
        <v>117</v>
      </c>
      <c r="D99" s="33">
        <v>377736.38</v>
      </c>
      <c r="E99" s="63">
        <f t="shared" si="12"/>
        <v>1363690.3091666668</v>
      </c>
      <c r="F99" s="33">
        <v>212099.54</v>
      </c>
      <c r="G99" s="81">
        <f t="shared" si="17"/>
        <v>1363690.3091666668</v>
      </c>
      <c r="H99" s="33">
        <v>70645.48</v>
      </c>
      <c r="I99" s="63">
        <f t="shared" si="13"/>
        <v>1363690.3091666668</v>
      </c>
      <c r="J99" s="104">
        <f t="shared" si="18"/>
        <v>660481.4</v>
      </c>
      <c r="K99" s="104">
        <f t="shared" si="14"/>
        <v>4091070.9275000002</v>
      </c>
      <c r="L99" s="28">
        <f t="shared" si="15"/>
        <v>16.144462213066827</v>
      </c>
      <c r="M99" s="154">
        <f>1669618.29+J99</f>
        <v>2330099.69</v>
      </c>
      <c r="N99" s="105">
        <v>16364283.710000001</v>
      </c>
      <c r="O99" s="106">
        <f t="shared" si="16"/>
        <v>14.23893481250332</v>
      </c>
      <c r="Q99" s="55"/>
      <c r="R99" s="55"/>
      <c r="S99" s="55"/>
    </row>
    <row r="100" spans="1:19" ht="20.100000000000001" customHeight="1" x14ac:dyDescent="0.2">
      <c r="B100" s="99">
        <v>6200</v>
      </c>
      <c r="C100" s="80" t="s">
        <v>334</v>
      </c>
      <c r="D100" s="33"/>
      <c r="E100" s="63">
        <f t="shared" si="12"/>
        <v>841133.50416666677</v>
      </c>
      <c r="F100" s="33">
        <v>342380.78</v>
      </c>
      <c r="G100" s="81">
        <f t="shared" si="17"/>
        <v>841133.50416666677</v>
      </c>
      <c r="H100" s="33">
        <v>526627.74</v>
      </c>
      <c r="I100" s="63">
        <f t="shared" si="13"/>
        <v>841133.50416666677</v>
      </c>
      <c r="J100" s="163">
        <f t="shared" si="18"/>
        <v>869008.52</v>
      </c>
      <c r="K100" s="104">
        <f t="shared" si="14"/>
        <v>2523400.5125000002</v>
      </c>
      <c r="L100" s="28">
        <f t="shared" si="15"/>
        <v>34.437994115292071</v>
      </c>
      <c r="M100" s="164">
        <f>951553.08+J100</f>
        <v>1820561.6</v>
      </c>
      <c r="N100" s="166">
        <v>10093602.050000001</v>
      </c>
      <c r="O100" s="165">
        <f t="shared" si="16"/>
        <v>18.036787967086536</v>
      </c>
      <c r="Q100" s="55"/>
      <c r="R100" s="55"/>
      <c r="S100" s="55"/>
    </row>
    <row r="101" spans="1:19" ht="20.100000000000001" customHeight="1" thickBot="1" x14ac:dyDescent="0.25">
      <c r="B101" s="9"/>
      <c r="C101" s="10"/>
      <c r="D101" s="26"/>
      <c r="E101" s="26"/>
      <c r="F101" s="26"/>
      <c r="G101" s="26"/>
      <c r="H101" s="26"/>
      <c r="I101" s="27"/>
      <c r="J101" s="34"/>
      <c r="K101" s="26"/>
      <c r="L101" s="30"/>
      <c r="M101" s="37"/>
      <c r="N101" s="68"/>
      <c r="O101" s="30"/>
      <c r="P101" s="23"/>
      <c r="Q101" s="70"/>
      <c r="R101" s="14"/>
      <c r="S101" s="14"/>
    </row>
    <row r="102" spans="1:19" ht="11.4" thickTop="1" thickBot="1" x14ac:dyDescent="0.25">
      <c r="D102" s="35"/>
      <c r="E102" s="35"/>
      <c r="F102" s="35"/>
      <c r="G102" s="35"/>
      <c r="H102" s="35"/>
      <c r="I102" s="35"/>
      <c r="J102" s="35"/>
      <c r="K102" s="35"/>
      <c r="L102" s="31"/>
      <c r="M102" s="35"/>
      <c r="N102" s="35"/>
      <c r="O102" s="102"/>
    </row>
    <row r="103" spans="1:19" ht="21.75" customHeight="1" thickBot="1" x14ac:dyDescent="0.3">
      <c r="B103" s="14"/>
      <c r="C103" s="15" t="s">
        <v>20</v>
      </c>
      <c r="D103" s="36">
        <f t="shared" ref="D103:I103" si="19">SUM(D68:D102)</f>
        <v>15323520.909999998</v>
      </c>
      <c r="E103" s="36">
        <f t="shared" si="19"/>
        <v>19545799.829166669</v>
      </c>
      <c r="F103" s="36">
        <f t="shared" si="19"/>
        <v>15972584.25</v>
      </c>
      <c r="G103" s="36">
        <f t="shared" si="19"/>
        <v>19545799.829166669</v>
      </c>
      <c r="H103" s="36">
        <f t="shared" si="19"/>
        <v>19413946.089999996</v>
      </c>
      <c r="I103" s="36">
        <f t="shared" si="19"/>
        <v>19545799.829166669</v>
      </c>
      <c r="J103" s="36">
        <f>SUM(J68:J100)</f>
        <v>50710051.249999993</v>
      </c>
      <c r="K103" s="36">
        <f>SUM(K68:K102)</f>
        <v>58637399.487500012</v>
      </c>
      <c r="L103" s="162">
        <f>J103/K103*100</f>
        <v>86.480730204977917</v>
      </c>
      <c r="M103" s="36">
        <f>SUM(M68:M101)</f>
        <v>140451583.70999998</v>
      </c>
      <c r="N103" s="36">
        <f>SUM(N68:N101)</f>
        <v>250987773.77000004</v>
      </c>
      <c r="O103" s="103">
        <f>M103/N103*100</f>
        <v>55.959532052229321</v>
      </c>
      <c r="P103" s="59"/>
      <c r="Q103" s="150"/>
    </row>
    <row r="104" spans="1:19" s="14" customFormat="1" ht="20.100000000000001" customHeight="1" x14ac:dyDescent="0.2">
      <c r="C104" s="77"/>
      <c r="D104" s="55"/>
      <c r="E104" s="55"/>
      <c r="F104" s="125"/>
      <c r="G104" s="55"/>
      <c r="H104" s="55"/>
      <c r="I104" s="55"/>
      <c r="J104" s="55"/>
      <c r="K104" s="55"/>
      <c r="L104" s="76"/>
      <c r="M104" s="55"/>
      <c r="N104" s="55"/>
      <c r="O104" s="56"/>
      <c r="Q104" s="101"/>
    </row>
    <row r="105" spans="1:19" s="14" customFormat="1" ht="20.100000000000001" customHeight="1" x14ac:dyDescent="0.2">
      <c r="C105" s="77"/>
      <c r="D105" s="55"/>
      <c r="E105" s="55"/>
      <c r="F105" s="55"/>
      <c r="G105" s="55"/>
      <c r="H105" s="55"/>
      <c r="I105" s="55"/>
      <c r="J105" s="55"/>
      <c r="K105" s="55"/>
      <c r="L105" s="76"/>
      <c r="M105" s="55"/>
      <c r="N105" s="55"/>
      <c r="O105" s="56"/>
      <c r="Q105" s="101"/>
    </row>
    <row r="106" spans="1:19" ht="20.100000000000001" customHeight="1" x14ac:dyDescent="0.25">
      <c r="B106" s="14"/>
      <c r="C106" s="15"/>
      <c r="D106" s="100"/>
      <c r="E106" s="74"/>
      <c r="F106" s="74"/>
      <c r="G106" s="74"/>
      <c r="H106" s="74"/>
      <c r="I106" s="74"/>
      <c r="J106" s="100"/>
      <c r="K106" s="100"/>
      <c r="L106" s="100"/>
      <c r="M106" s="74"/>
      <c r="N106" s="74"/>
      <c r="O106" s="75"/>
      <c r="Q106" s="60"/>
    </row>
    <row r="107" spans="1:19" s="114" customFormat="1" ht="40.5" customHeight="1" x14ac:dyDescent="0.25">
      <c r="A107" s="110"/>
      <c r="B107" s="111"/>
      <c r="C107" s="112"/>
      <c r="D107" s="170"/>
      <c r="E107" s="170"/>
      <c r="F107" s="170"/>
      <c r="G107" s="170"/>
      <c r="H107" s="112"/>
      <c r="I107" s="113"/>
      <c r="J107" s="113"/>
      <c r="K107" s="110"/>
      <c r="L107" s="171"/>
      <c r="M107" s="171"/>
      <c r="N107" s="171"/>
      <c r="O107" s="171"/>
      <c r="P107" s="110"/>
      <c r="Q107" s="110"/>
    </row>
    <row r="108" spans="1:19" s="114" customFormat="1" ht="17.25" customHeight="1" x14ac:dyDescent="0.3">
      <c r="A108" s="110"/>
      <c r="B108" s="115"/>
      <c r="C108" s="110"/>
      <c r="D108" s="167" t="s">
        <v>234</v>
      </c>
      <c r="E108" s="167"/>
      <c r="F108" s="167"/>
      <c r="G108" s="167"/>
      <c r="H108" s="116"/>
      <c r="I108" s="117"/>
      <c r="J108" s="116"/>
      <c r="K108" s="167" t="s">
        <v>236</v>
      </c>
      <c r="L108" s="167"/>
      <c r="M108" s="167"/>
      <c r="N108" s="167"/>
      <c r="O108" s="167"/>
      <c r="P108" s="110"/>
      <c r="Q108" s="110"/>
    </row>
    <row r="109" spans="1:19" s="114" customFormat="1" ht="17.25" customHeight="1" x14ac:dyDescent="0.3">
      <c r="A109" s="110"/>
      <c r="B109" s="119"/>
      <c r="C109" s="110"/>
      <c r="D109" s="168" t="s">
        <v>235</v>
      </c>
      <c r="E109" s="168"/>
      <c r="F109" s="168"/>
      <c r="G109" s="168"/>
      <c r="H109" s="116"/>
      <c r="I109" s="117"/>
      <c r="J109" s="116"/>
      <c r="K109" s="168" t="s">
        <v>147</v>
      </c>
      <c r="L109" s="168"/>
      <c r="M109" s="168"/>
      <c r="N109" s="168"/>
      <c r="O109" s="168"/>
      <c r="P109" s="110"/>
      <c r="Q109" s="110"/>
    </row>
    <row r="110" spans="1:19" s="114" customFormat="1" ht="17.399999999999999" x14ac:dyDescent="0.3">
      <c r="A110" s="121"/>
      <c r="B110" s="121"/>
      <c r="C110" s="121"/>
      <c r="D110" s="118"/>
      <c r="E110" s="118"/>
      <c r="F110" s="118"/>
      <c r="G110" s="122"/>
      <c r="H110" s="122"/>
      <c r="I110" s="118"/>
      <c r="J110" s="120"/>
      <c r="K110" s="120"/>
      <c r="L110" s="120"/>
      <c r="M110" s="120"/>
      <c r="N110" s="120"/>
      <c r="O110" s="120"/>
    </row>
    <row r="111" spans="1:19" s="114" customFormat="1" ht="17.399999999999999" x14ac:dyDescent="0.3">
      <c r="A111" s="121"/>
      <c r="B111" s="121"/>
      <c r="C111" s="121"/>
      <c r="D111" s="118"/>
      <c r="E111" s="118"/>
      <c r="F111" s="118"/>
      <c r="G111" s="122"/>
      <c r="H111" s="122"/>
      <c r="I111" s="118"/>
      <c r="J111" s="120"/>
      <c r="K111" s="120"/>
      <c r="L111" s="120"/>
      <c r="M111" s="120"/>
      <c r="N111" s="120"/>
      <c r="O111" s="120"/>
    </row>
    <row r="112" spans="1:19" s="114" customFormat="1" ht="17.399999999999999" x14ac:dyDescent="0.3">
      <c r="A112" s="121"/>
      <c r="B112" s="121"/>
      <c r="C112" s="121"/>
      <c r="D112" s="118"/>
      <c r="E112" s="118"/>
      <c r="F112" s="118"/>
      <c r="G112" s="122"/>
      <c r="H112" s="122"/>
      <c r="I112" s="118"/>
      <c r="J112" s="120"/>
      <c r="K112" s="120"/>
      <c r="L112" s="120"/>
      <c r="M112" s="120"/>
      <c r="N112" s="120"/>
      <c r="O112" s="120"/>
    </row>
    <row r="113" spans="1:17" s="114" customFormat="1" ht="17.399999999999999" x14ac:dyDescent="0.3">
      <c r="A113" s="121"/>
      <c r="B113" s="121"/>
      <c r="C113" s="121"/>
      <c r="D113" s="118"/>
      <c r="E113" s="118"/>
      <c r="F113" s="118"/>
      <c r="G113" s="122"/>
      <c r="H113" s="122"/>
      <c r="I113" s="118"/>
      <c r="J113" s="120"/>
      <c r="K113" s="120"/>
      <c r="L113" s="120"/>
      <c r="M113" s="120"/>
      <c r="N113" s="120"/>
      <c r="O113" s="120"/>
    </row>
    <row r="114" spans="1:17" s="114" customFormat="1" ht="21.75" customHeight="1" x14ac:dyDescent="0.3">
      <c r="A114" s="121"/>
      <c r="B114" s="121"/>
      <c r="C114" s="121"/>
      <c r="D114" s="169"/>
      <c r="E114" s="169"/>
      <c r="F114" s="169"/>
      <c r="G114" s="169"/>
      <c r="H114" s="122"/>
      <c r="I114" s="118"/>
      <c r="J114" s="120"/>
      <c r="K114" s="120"/>
      <c r="L114" s="120"/>
      <c r="M114" s="120"/>
      <c r="N114" s="120"/>
      <c r="O114" s="120"/>
    </row>
    <row r="115" spans="1:17" s="114" customFormat="1" ht="17.399999999999999" x14ac:dyDescent="0.3">
      <c r="A115" s="121"/>
      <c r="B115" s="121"/>
      <c r="C115" s="121"/>
      <c r="D115" s="167" t="s">
        <v>238</v>
      </c>
      <c r="E115" s="167"/>
      <c r="F115" s="167"/>
      <c r="G115" s="167"/>
      <c r="H115" s="122"/>
      <c r="I115" s="118"/>
      <c r="J115" s="120"/>
      <c r="K115" s="120"/>
      <c r="L115" s="120"/>
      <c r="M115" s="120"/>
      <c r="N115" s="120"/>
      <c r="O115" s="120"/>
    </row>
    <row r="116" spans="1:17" s="114" customFormat="1" ht="17.399999999999999" x14ac:dyDescent="0.3">
      <c r="A116" s="121"/>
      <c r="B116" s="121"/>
      <c r="C116" s="121"/>
      <c r="D116" s="168" t="s">
        <v>148</v>
      </c>
      <c r="E116" s="168"/>
      <c r="F116" s="168"/>
      <c r="G116" s="168"/>
      <c r="H116" s="122"/>
      <c r="I116" s="118"/>
      <c r="J116" s="120"/>
      <c r="K116" s="120"/>
      <c r="L116" s="120"/>
      <c r="M116" s="120"/>
      <c r="N116" s="120"/>
      <c r="O116" s="120"/>
    </row>
    <row r="117" spans="1:17" ht="20.100000000000001" customHeight="1" x14ac:dyDescent="0.25">
      <c r="B117" s="14"/>
      <c r="C117" s="15"/>
      <c r="D117" s="100"/>
      <c r="E117" s="74"/>
      <c r="F117" s="74"/>
      <c r="G117" s="74"/>
      <c r="H117" s="74"/>
      <c r="I117" s="74"/>
      <c r="J117" s="100"/>
      <c r="K117" s="100"/>
      <c r="L117" s="100"/>
      <c r="M117" s="74"/>
      <c r="N117" s="74"/>
      <c r="O117" s="75"/>
      <c r="Q117" s="60"/>
    </row>
    <row r="118" spans="1:17" ht="20.100000000000001" customHeight="1" x14ac:dyDescent="0.25">
      <c r="B118" s="14"/>
      <c r="C118" s="15"/>
      <c r="D118" s="100"/>
      <c r="E118" s="74"/>
      <c r="F118" s="74"/>
      <c r="G118" s="74"/>
      <c r="H118" s="74"/>
      <c r="I118" s="74"/>
      <c r="J118" s="100"/>
      <c r="K118" s="100"/>
      <c r="L118" s="100"/>
      <c r="M118" s="74"/>
      <c r="N118" s="74"/>
      <c r="O118" s="75"/>
      <c r="Q118" s="60"/>
    </row>
    <row r="119" spans="1:17" ht="20.100000000000001" customHeight="1" x14ac:dyDescent="0.25">
      <c r="B119" s="14"/>
      <c r="C119" s="15"/>
      <c r="D119" s="100"/>
      <c r="E119" s="74"/>
      <c r="F119" s="74"/>
      <c r="G119" s="74"/>
      <c r="H119" s="74"/>
      <c r="I119" s="74"/>
      <c r="J119" s="100"/>
      <c r="K119" s="100"/>
      <c r="L119" s="100"/>
      <c r="M119" s="74"/>
      <c r="N119" s="74"/>
      <c r="O119" s="75"/>
      <c r="Q119" s="60"/>
    </row>
    <row r="120" spans="1:17" ht="20.100000000000001" customHeight="1" x14ac:dyDescent="0.25">
      <c r="B120" s="14"/>
      <c r="C120" s="15"/>
      <c r="D120" s="100"/>
      <c r="E120" s="74"/>
      <c r="F120" s="74"/>
      <c r="G120" s="74"/>
      <c r="H120" s="74"/>
      <c r="I120" s="74"/>
      <c r="J120" s="100"/>
      <c r="K120" s="100"/>
      <c r="L120" s="100"/>
      <c r="M120" s="74"/>
      <c r="N120" s="74"/>
      <c r="O120" s="75"/>
      <c r="Q120" s="60"/>
    </row>
    <row r="121" spans="1:17" ht="20.100000000000001" customHeight="1" x14ac:dyDescent="0.25">
      <c r="B121" s="14"/>
      <c r="C121" s="15"/>
      <c r="D121" s="100"/>
      <c r="E121" s="74"/>
      <c r="F121" s="74"/>
      <c r="G121" s="74"/>
      <c r="H121" s="74"/>
      <c r="I121" s="74"/>
      <c r="J121" s="100"/>
      <c r="K121" s="100"/>
      <c r="L121" s="100"/>
      <c r="M121" s="74"/>
      <c r="N121" s="74"/>
      <c r="O121" s="75"/>
      <c r="Q121" s="60"/>
    </row>
    <row r="122" spans="1:17" ht="20.100000000000001" customHeight="1" x14ac:dyDescent="0.25">
      <c r="B122" s="14"/>
      <c r="C122" s="15"/>
      <c r="D122" s="100"/>
      <c r="E122" s="74"/>
      <c r="F122" s="74"/>
      <c r="G122" s="74"/>
      <c r="H122" s="74"/>
      <c r="I122" s="74"/>
      <c r="J122" s="100"/>
      <c r="K122" s="100"/>
      <c r="L122" s="100"/>
      <c r="M122" s="74"/>
      <c r="N122" s="74"/>
      <c r="O122" s="75"/>
      <c r="Q122" s="60"/>
    </row>
    <row r="123" spans="1:17" ht="20.100000000000001" customHeight="1" x14ac:dyDescent="0.25">
      <c r="B123" s="14"/>
      <c r="C123" s="15"/>
      <c r="D123" s="100"/>
      <c r="E123" s="74"/>
      <c r="F123" s="74"/>
      <c r="G123" s="74"/>
      <c r="H123" s="74"/>
      <c r="I123" s="74"/>
      <c r="J123" s="100"/>
      <c r="K123" s="100"/>
      <c r="L123" s="100"/>
      <c r="M123" s="74"/>
      <c r="N123" s="74"/>
      <c r="O123" s="75"/>
      <c r="Q123" s="60"/>
    </row>
    <row r="124" spans="1:17" ht="20.100000000000001" customHeight="1" x14ac:dyDescent="0.25">
      <c r="B124" s="14"/>
      <c r="C124" s="15"/>
      <c r="D124" s="100"/>
      <c r="E124" s="74"/>
      <c r="F124" s="74"/>
      <c r="G124" s="74"/>
      <c r="H124" s="74"/>
      <c r="I124" s="74"/>
      <c r="J124" s="100"/>
      <c r="K124" s="100"/>
      <c r="L124" s="100"/>
      <c r="M124" s="74"/>
      <c r="N124" s="74"/>
      <c r="O124" s="75"/>
      <c r="Q124" s="60"/>
    </row>
    <row r="125" spans="1:17" ht="20.100000000000001" customHeight="1" x14ac:dyDescent="0.25">
      <c r="B125" s="14"/>
      <c r="C125" s="15"/>
      <c r="D125" s="100"/>
      <c r="E125" s="74"/>
      <c r="F125" s="74"/>
      <c r="G125" s="74"/>
      <c r="H125" s="74"/>
      <c r="I125" s="74"/>
      <c r="J125" s="100"/>
      <c r="K125" s="100"/>
      <c r="L125" s="100"/>
      <c r="M125" s="74"/>
      <c r="N125" s="74"/>
      <c r="O125" s="75"/>
      <c r="Q125" s="60"/>
    </row>
    <row r="126" spans="1:17" ht="20.100000000000001" customHeight="1" x14ac:dyDescent="0.25">
      <c r="B126" s="14"/>
      <c r="C126" s="15"/>
      <c r="D126" s="100"/>
      <c r="E126" s="74"/>
      <c r="F126" s="74"/>
      <c r="G126" s="74"/>
      <c r="H126" s="74"/>
      <c r="I126" s="74"/>
      <c r="J126" s="100"/>
      <c r="K126" s="100"/>
      <c r="L126" s="100"/>
      <c r="M126" s="74"/>
      <c r="N126" s="74"/>
      <c r="O126" s="75"/>
      <c r="Q126" s="60"/>
    </row>
    <row r="127" spans="1:17" ht="20.100000000000001" customHeight="1" x14ac:dyDescent="0.25">
      <c r="B127" s="14"/>
      <c r="C127" s="15"/>
      <c r="D127" s="100"/>
      <c r="E127" s="74"/>
      <c r="F127" s="74"/>
      <c r="G127" s="74"/>
      <c r="H127" s="74"/>
      <c r="I127" s="74"/>
      <c r="J127" s="100"/>
      <c r="K127" s="100"/>
      <c r="L127" s="100"/>
      <c r="M127" s="74"/>
      <c r="N127" s="74"/>
      <c r="O127" s="75"/>
      <c r="Q127" s="60"/>
    </row>
    <row r="128" spans="1:17" ht="20.100000000000001" customHeight="1" x14ac:dyDescent="0.25">
      <c r="B128" s="14"/>
      <c r="C128" s="15"/>
      <c r="D128" s="100"/>
      <c r="E128" s="74"/>
      <c r="F128" s="74"/>
      <c r="G128" s="74"/>
      <c r="H128" s="74"/>
      <c r="I128" s="74"/>
      <c r="J128" s="100"/>
      <c r="K128" s="100"/>
      <c r="L128" s="100"/>
      <c r="M128" s="74"/>
      <c r="N128" s="74"/>
      <c r="O128" s="75"/>
      <c r="Q128" s="60"/>
    </row>
    <row r="129" spans="2:17" ht="20.100000000000001" customHeight="1" x14ac:dyDescent="0.25">
      <c r="B129" s="14"/>
      <c r="C129" s="15"/>
      <c r="D129" s="100"/>
      <c r="E129" s="74"/>
      <c r="F129" s="74"/>
      <c r="G129" s="74"/>
      <c r="H129" s="74"/>
      <c r="I129" s="74"/>
      <c r="J129" s="100"/>
      <c r="K129" s="100"/>
      <c r="L129" s="100"/>
      <c r="M129" s="74"/>
      <c r="N129" s="74"/>
      <c r="O129" s="75"/>
      <c r="Q129" s="60"/>
    </row>
    <row r="130" spans="2:17" ht="20.100000000000001" customHeight="1" x14ac:dyDescent="0.25">
      <c r="B130" s="14"/>
      <c r="C130" s="15"/>
      <c r="D130" s="100"/>
      <c r="E130" s="74"/>
      <c r="F130" s="74"/>
      <c r="G130" s="74"/>
      <c r="H130" s="74"/>
      <c r="I130" s="74"/>
      <c r="J130" s="100"/>
      <c r="K130" s="100"/>
      <c r="L130" s="100"/>
      <c r="M130" s="74"/>
      <c r="N130" s="74"/>
      <c r="O130" s="75"/>
      <c r="Q130" s="60"/>
    </row>
    <row r="131" spans="2:17" ht="20.100000000000001" customHeight="1" x14ac:dyDescent="0.25">
      <c r="B131" s="14"/>
      <c r="C131" s="15"/>
      <c r="D131" s="100"/>
      <c r="E131" s="74"/>
      <c r="F131" s="74"/>
      <c r="G131" s="74"/>
      <c r="H131" s="74"/>
      <c r="I131" s="74"/>
      <c r="J131" s="100"/>
      <c r="K131" s="100"/>
      <c r="L131" s="100"/>
      <c r="M131" s="74"/>
      <c r="N131" s="74"/>
      <c r="O131" s="75"/>
      <c r="Q131" s="60"/>
    </row>
    <row r="132" spans="2:17" ht="20.100000000000001" customHeight="1" x14ac:dyDescent="0.25">
      <c r="B132" s="14"/>
      <c r="C132" s="15"/>
      <c r="D132" s="100"/>
      <c r="E132" s="74"/>
      <c r="F132" s="74"/>
      <c r="G132" s="74"/>
      <c r="H132" s="74"/>
      <c r="I132" s="74"/>
      <c r="J132" s="100"/>
      <c r="K132" s="100"/>
      <c r="L132" s="100"/>
      <c r="M132" s="74"/>
      <c r="N132" s="74"/>
      <c r="O132" s="75"/>
      <c r="Q132" s="60"/>
    </row>
    <row r="133" spans="2:17" ht="20.100000000000001" customHeight="1" x14ac:dyDescent="0.25">
      <c r="B133" s="14"/>
      <c r="C133" s="15"/>
      <c r="D133" s="100"/>
      <c r="E133" s="74"/>
      <c r="F133" s="74"/>
      <c r="G133" s="74"/>
      <c r="H133" s="74"/>
      <c r="I133" s="74"/>
      <c r="J133" s="100"/>
      <c r="K133" s="100"/>
      <c r="L133" s="100"/>
      <c r="M133" s="74"/>
      <c r="N133" s="74"/>
      <c r="O133" s="75"/>
      <c r="Q133" s="60"/>
    </row>
    <row r="134" spans="2:17" ht="20.100000000000001" customHeight="1" x14ac:dyDescent="0.25">
      <c r="B134" s="14"/>
      <c r="C134" s="15"/>
      <c r="D134" s="100"/>
      <c r="E134" s="74"/>
      <c r="F134" s="74"/>
      <c r="G134" s="74"/>
      <c r="H134" s="74"/>
      <c r="I134" s="74"/>
      <c r="J134" s="100"/>
      <c r="K134" s="100"/>
      <c r="L134" s="100"/>
      <c r="M134" s="74"/>
      <c r="N134" s="74"/>
      <c r="O134" s="75"/>
      <c r="Q134" s="60"/>
    </row>
    <row r="135" spans="2:17" ht="20.100000000000001" customHeight="1" x14ac:dyDescent="0.25">
      <c r="B135" s="14"/>
      <c r="C135" s="15"/>
      <c r="D135" s="100"/>
      <c r="E135" s="74"/>
      <c r="F135" s="74"/>
      <c r="G135" s="74"/>
      <c r="H135" s="74"/>
      <c r="I135" s="74"/>
      <c r="J135" s="100"/>
      <c r="K135" s="100"/>
      <c r="L135" s="100"/>
      <c r="M135" s="74"/>
      <c r="N135" s="74"/>
      <c r="O135" s="75"/>
      <c r="Q135" s="60"/>
    </row>
    <row r="136" spans="2:17" ht="20.100000000000001" customHeight="1" x14ac:dyDescent="0.25">
      <c r="B136" s="14"/>
      <c r="C136" s="15"/>
      <c r="D136" s="100"/>
      <c r="E136" s="74"/>
      <c r="F136" s="74"/>
      <c r="G136" s="74"/>
      <c r="H136" s="74"/>
      <c r="I136" s="74"/>
      <c r="J136" s="100"/>
      <c r="K136" s="100"/>
      <c r="L136" s="100"/>
      <c r="M136" s="74"/>
      <c r="N136" s="74"/>
      <c r="O136" s="75"/>
      <c r="Q136" s="60"/>
    </row>
    <row r="137" spans="2:17" ht="20.100000000000001" customHeight="1" x14ac:dyDescent="0.25">
      <c r="B137" s="14"/>
      <c r="C137" s="15"/>
      <c r="D137" s="100"/>
      <c r="E137" s="74"/>
      <c r="F137" s="74"/>
      <c r="G137" s="74"/>
      <c r="H137" s="74"/>
      <c r="I137" s="74"/>
      <c r="J137" s="100"/>
      <c r="K137" s="100"/>
      <c r="L137" s="100"/>
      <c r="M137" s="74"/>
      <c r="N137" s="74"/>
      <c r="O137" s="75"/>
      <c r="Q137" s="60"/>
    </row>
    <row r="138" spans="2:17" ht="20.100000000000001" customHeight="1" x14ac:dyDescent="0.25">
      <c r="B138" s="14"/>
      <c r="C138" s="15"/>
      <c r="D138" s="100"/>
      <c r="E138" s="74"/>
      <c r="F138" s="74"/>
      <c r="G138" s="74"/>
      <c r="H138" s="74"/>
      <c r="I138" s="74"/>
      <c r="J138" s="100"/>
      <c r="K138" s="100"/>
      <c r="L138" s="100"/>
      <c r="M138" s="74"/>
      <c r="N138" s="74"/>
      <c r="O138" s="75"/>
      <c r="Q138" s="60"/>
    </row>
    <row r="139" spans="2:17" ht="20.100000000000001" customHeight="1" x14ac:dyDescent="0.25">
      <c r="B139" s="14"/>
      <c r="C139" s="15"/>
      <c r="D139" s="100"/>
      <c r="E139" s="74"/>
      <c r="F139" s="74"/>
      <c r="G139" s="74"/>
      <c r="H139" s="74"/>
      <c r="I139" s="74"/>
      <c r="J139" s="100"/>
      <c r="K139" s="100"/>
      <c r="L139" s="100"/>
      <c r="M139" s="74"/>
      <c r="N139" s="74"/>
      <c r="O139" s="75"/>
      <c r="Q139" s="60"/>
    </row>
    <row r="140" spans="2:17" ht="20.100000000000001" customHeight="1" x14ac:dyDescent="0.25">
      <c r="B140" s="14"/>
      <c r="C140" s="15"/>
      <c r="D140" s="100"/>
      <c r="E140" s="74"/>
      <c r="F140" s="74"/>
      <c r="G140" s="74"/>
      <c r="H140" s="74"/>
      <c r="I140" s="74"/>
      <c r="J140" s="100"/>
      <c r="K140" s="100"/>
      <c r="L140" s="100"/>
      <c r="M140" s="74"/>
      <c r="N140" s="74"/>
      <c r="O140" s="75"/>
      <c r="Q140" s="60"/>
    </row>
    <row r="141" spans="2:17" ht="20.100000000000001" customHeight="1" x14ac:dyDescent="0.25">
      <c r="B141" s="14"/>
      <c r="C141" s="15"/>
      <c r="D141" s="100"/>
      <c r="E141" s="74"/>
      <c r="F141" s="74"/>
      <c r="G141" s="74"/>
      <c r="H141" s="74"/>
      <c r="I141" s="74"/>
      <c r="J141" s="100"/>
      <c r="K141" s="100"/>
      <c r="L141" s="100"/>
      <c r="M141" s="74"/>
      <c r="N141" s="74"/>
      <c r="O141" s="75"/>
      <c r="Q141" s="60"/>
    </row>
    <row r="142" spans="2:17" ht="20.100000000000001" customHeight="1" x14ac:dyDescent="0.25">
      <c r="B142" s="14"/>
      <c r="C142" s="15"/>
      <c r="D142" s="100"/>
      <c r="E142" s="74"/>
      <c r="F142" s="74"/>
      <c r="G142" s="74"/>
      <c r="H142" s="74"/>
      <c r="I142" s="74"/>
      <c r="J142" s="100"/>
      <c r="K142" s="100"/>
      <c r="L142" s="100"/>
      <c r="M142" s="74"/>
      <c r="N142" s="74"/>
      <c r="O142" s="75"/>
      <c r="Q142" s="60"/>
    </row>
    <row r="143" spans="2:17" ht="20.100000000000001" customHeight="1" x14ac:dyDescent="0.25">
      <c r="B143" s="14"/>
      <c r="C143" s="15"/>
      <c r="D143" s="100"/>
      <c r="E143" s="74"/>
      <c r="F143" s="74"/>
      <c r="G143" s="74"/>
      <c r="H143" s="74"/>
      <c r="I143" s="74"/>
      <c r="J143" s="100"/>
      <c r="K143" s="100"/>
      <c r="L143" s="100"/>
      <c r="M143" s="74"/>
      <c r="N143" s="74"/>
      <c r="O143" s="75"/>
      <c r="Q143" s="60"/>
    </row>
    <row r="144" spans="2:17" ht="20.100000000000001" customHeight="1" x14ac:dyDescent="0.25">
      <c r="B144" s="14"/>
      <c r="C144" s="15"/>
      <c r="D144" s="100"/>
      <c r="E144" s="74"/>
      <c r="F144" s="74"/>
      <c r="G144" s="74"/>
      <c r="H144" s="74"/>
      <c r="I144" s="74"/>
      <c r="J144" s="100"/>
      <c r="K144" s="100"/>
      <c r="L144" s="100"/>
      <c r="M144" s="74"/>
      <c r="N144" s="74"/>
      <c r="O144" s="75"/>
      <c r="Q144" s="60"/>
    </row>
    <row r="145" spans="1:20" ht="20.100000000000001" customHeight="1" x14ac:dyDescent="0.25">
      <c r="B145" s="14"/>
      <c r="C145" s="15"/>
      <c r="D145" s="100"/>
      <c r="E145" s="74"/>
      <c r="F145" s="74"/>
      <c r="G145" s="74"/>
      <c r="H145" s="74"/>
      <c r="I145" s="74"/>
      <c r="J145" s="100"/>
      <c r="K145" s="100"/>
      <c r="L145" s="100"/>
      <c r="M145" s="74"/>
      <c r="N145" s="74"/>
      <c r="O145" s="75"/>
      <c r="Q145" s="60"/>
    </row>
    <row r="146" spans="1:20" ht="20.100000000000001" customHeight="1" x14ac:dyDescent="0.25">
      <c r="B146" s="14"/>
      <c r="C146" s="15"/>
      <c r="D146" s="100"/>
      <c r="E146" s="74"/>
      <c r="F146" s="74"/>
      <c r="G146" s="74"/>
      <c r="H146" s="74"/>
      <c r="I146" s="74"/>
      <c r="J146" s="100"/>
      <c r="K146" s="100"/>
      <c r="L146" s="100"/>
      <c r="M146" s="74"/>
      <c r="N146" s="74"/>
      <c r="O146" s="75"/>
      <c r="Q146" s="60"/>
    </row>
    <row r="147" spans="1:20" ht="20.100000000000001" customHeight="1" x14ac:dyDescent="0.25">
      <c r="B147" s="14"/>
      <c r="C147" s="15"/>
      <c r="D147" s="100"/>
      <c r="E147" s="74"/>
      <c r="F147" s="74"/>
      <c r="G147" s="74"/>
      <c r="H147" s="74"/>
      <c r="I147" s="74"/>
      <c r="J147" s="100"/>
      <c r="K147" s="100"/>
      <c r="L147" s="100"/>
      <c r="M147" s="74"/>
      <c r="N147" s="74"/>
      <c r="O147" s="75"/>
      <c r="Q147" s="60"/>
    </row>
    <row r="148" spans="1:20" ht="20.100000000000001" customHeight="1" x14ac:dyDescent="0.25">
      <c r="B148" s="14"/>
      <c r="C148" s="15"/>
      <c r="D148" s="100"/>
      <c r="E148" s="74"/>
      <c r="F148" s="74"/>
      <c r="G148" s="74"/>
      <c r="H148" s="74"/>
      <c r="I148" s="74"/>
      <c r="J148" s="100"/>
      <c r="K148" s="100"/>
      <c r="L148" s="100"/>
      <c r="M148" s="74"/>
      <c r="N148" s="74"/>
      <c r="O148" s="75"/>
      <c r="Q148" s="60"/>
    </row>
    <row r="149" spans="1:20" ht="11.4" x14ac:dyDescent="0.2">
      <c r="D149" s="59"/>
      <c r="E149" s="24"/>
      <c r="F149" s="24"/>
      <c r="G149" s="24"/>
      <c r="M149" s="60" t="s">
        <v>0</v>
      </c>
      <c r="N149" s="42" t="s">
        <v>0</v>
      </c>
      <c r="P149" s="60"/>
      <c r="Q149" s="60"/>
    </row>
    <row r="150" spans="1:20" ht="10.199999999999999" thickBot="1" x14ac:dyDescent="0.25">
      <c r="E150" s="59"/>
      <c r="H150" s="23"/>
      <c r="L150" s="59"/>
      <c r="M150" s="59" t="s">
        <v>0</v>
      </c>
      <c r="Q150" s="59"/>
    </row>
    <row r="151" spans="1:20" ht="24" customHeight="1" thickTop="1" thickBot="1" x14ac:dyDescent="0.25">
      <c r="B151" s="172" t="s">
        <v>22</v>
      </c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4"/>
    </row>
    <row r="152" spans="1:20" ht="41.25" customHeight="1" thickTop="1" thickBot="1" x14ac:dyDescent="0.25">
      <c r="B152" s="175" t="s">
        <v>10</v>
      </c>
      <c r="C152" s="176"/>
      <c r="D152" s="4" t="s">
        <v>11</v>
      </c>
      <c r="E152" s="4" t="str">
        <f>E66</f>
        <v>JULIO</v>
      </c>
      <c r="F152" s="4" t="s">
        <v>11</v>
      </c>
      <c r="G152" s="4" t="str">
        <f>G66</f>
        <v>AGOSTO</v>
      </c>
      <c r="H152" s="4" t="s">
        <v>11</v>
      </c>
      <c r="I152" s="4" t="str">
        <f>I66</f>
        <v>SEPTIEMBRE</v>
      </c>
      <c r="J152" s="177" t="s">
        <v>12</v>
      </c>
      <c r="K152" s="178"/>
      <c r="L152" s="11" t="s">
        <v>13</v>
      </c>
      <c r="M152" s="179" t="s">
        <v>14</v>
      </c>
      <c r="N152" s="180"/>
      <c r="O152" s="13" t="s">
        <v>13</v>
      </c>
      <c r="Q152" s="59"/>
    </row>
    <row r="153" spans="1:20" ht="57" customHeight="1" thickBot="1" x14ac:dyDescent="0.25">
      <c r="B153" s="7" t="s">
        <v>15</v>
      </c>
      <c r="C153" s="2" t="s">
        <v>16</v>
      </c>
      <c r="D153" s="85" t="s">
        <v>17</v>
      </c>
      <c r="E153" s="2" t="s">
        <v>18</v>
      </c>
      <c r="F153" s="71" t="s">
        <v>17</v>
      </c>
      <c r="G153" s="2" t="s">
        <v>18</v>
      </c>
      <c r="H153" s="71" t="s">
        <v>17</v>
      </c>
      <c r="I153" s="2" t="s">
        <v>18</v>
      </c>
      <c r="J153" s="71" t="s">
        <v>17</v>
      </c>
      <c r="K153" s="2" t="s">
        <v>18</v>
      </c>
      <c r="L153" s="12" t="s">
        <v>19</v>
      </c>
      <c r="M153" s="72" t="s">
        <v>17</v>
      </c>
      <c r="N153" s="2" t="s">
        <v>18</v>
      </c>
      <c r="O153" s="8" t="s">
        <v>23</v>
      </c>
      <c r="P153" s="3"/>
      <c r="Q153" s="3"/>
      <c r="R153" s="3"/>
      <c r="S153" s="3"/>
      <c r="T153" s="3"/>
    </row>
    <row r="154" spans="1:20" ht="20.100000000000001" customHeight="1" x14ac:dyDescent="0.2">
      <c r="A154" s="1">
        <v>1</v>
      </c>
      <c r="B154" s="123"/>
      <c r="C154" s="88" t="s">
        <v>195</v>
      </c>
      <c r="D154" s="33">
        <v>7278787.7800000003</v>
      </c>
      <c r="E154" s="63">
        <f>N154/12</f>
        <v>9361557.2533333339</v>
      </c>
      <c r="F154" s="87">
        <v>9199618.2400000002</v>
      </c>
      <c r="G154" s="63">
        <f t="shared" ref="G154:G183" si="20">E154</f>
        <v>9361557.2533333339</v>
      </c>
      <c r="H154" s="87">
        <v>7763677.4800000004</v>
      </c>
      <c r="I154" s="63">
        <f>G154</f>
        <v>9361557.2533333339</v>
      </c>
      <c r="J154" s="64">
        <f t="shared" ref="J154:K154" si="21">+D154+F154+H154</f>
        <v>24242083.5</v>
      </c>
      <c r="K154" s="33">
        <f t="shared" si="21"/>
        <v>28084671.760000002</v>
      </c>
      <c r="L154" s="65">
        <f>+J154/K154*100</f>
        <v>86.317845218782779</v>
      </c>
      <c r="M154" s="156">
        <f>50730927.25+J154</f>
        <v>74973010.75</v>
      </c>
      <c r="N154" s="82">
        <v>112338687.04000001</v>
      </c>
      <c r="O154" s="83">
        <f>M154/N154*100</f>
        <v>66.738371905045184</v>
      </c>
      <c r="P154" s="59"/>
      <c r="Q154" s="55"/>
      <c r="R154" s="55"/>
      <c r="S154" s="55"/>
    </row>
    <row r="155" spans="1:20" ht="20.100000000000001" customHeight="1" x14ac:dyDescent="0.3">
      <c r="A155" s="1">
        <v>2</v>
      </c>
      <c r="B155" s="108" t="s">
        <v>118</v>
      </c>
      <c r="C155" s="80" t="s">
        <v>196</v>
      </c>
      <c r="D155" s="33"/>
      <c r="E155" s="63">
        <f t="shared" ref="E155:E254" si="22">N155/12</f>
        <v>13083.333333333334</v>
      </c>
      <c r="F155" s="63">
        <v>7450.03</v>
      </c>
      <c r="G155" s="63">
        <f t="shared" si="20"/>
        <v>13083.333333333334</v>
      </c>
      <c r="H155" s="63">
        <v>9570</v>
      </c>
      <c r="I155" s="81">
        <f t="shared" ref="I155:I254" si="23">G155</f>
        <v>13083.333333333334</v>
      </c>
      <c r="J155" s="64">
        <f t="shared" ref="J155:J168" si="24">+D155+F155+H155</f>
        <v>17020.03</v>
      </c>
      <c r="K155" s="33">
        <f t="shared" ref="K155:K245" si="25">+E155+G155+I155</f>
        <v>39250</v>
      </c>
      <c r="L155" s="65">
        <f t="shared" ref="L155:L255" si="26">+J155/K155*100</f>
        <v>43.363133757961783</v>
      </c>
      <c r="M155" s="155">
        <f>12947.13+J155</f>
        <v>29967.159999999996</v>
      </c>
      <c r="N155" s="82">
        <v>157000</v>
      </c>
      <c r="O155" s="83">
        <f t="shared" ref="O155:O245" si="27">M155/N155*100</f>
        <v>19.08736305732484</v>
      </c>
      <c r="P155" s="59"/>
      <c r="Q155" s="151"/>
      <c r="R155" s="55"/>
      <c r="S155" s="55"/>
    </row>
    <row r="156" spans="1:20" ht="20.100000000000001" customHeight="1" x14ac:dyDescent="0.3">
      <c r="A156" s="1">
        <v>3</v>
      </c>
      <c r="B156" s="109" t="s">
        <v>149</v>
      </c>
      <c r="C156" s="80" t="s">
        <v>197</v>
      </c>
      <c r="D156" s="33"/>
      <c r="E156" s="63">
        <f t="shared" si="22"/>
        <v>4666.666666666667</v>
      </c>
      <c r="F156" s="63">
        <v>0</v>
      </c>
      <c r="G156" s="63">
        <f t="shared" si="20"/>
        <v>4666.666666666667</v>
      </c>
      <c r="H156" s="63">
        <v>26300.52</v>
      </c>
      <c r="I156" s="81">
        <f t="shared" si="23"/>
        <v>4666.666666666667</v>
      </c>
      <c r="J156" s="64">
        <f t="shared" si="24"/>
        <v>26300.52</v>
      </c>
      <c r="K156" s="33">
        <f t="shared" si="25"/>
        <v>14000</v>
      </c>
      <c r="L156" s="65">
        <f t="shared" si="26"/>
        <v>187.86085714285713</v>
      </c>
      <c r="M156" s="155">
        <f>4400+J156</f>
        <v>30700.52</v>
      </c>
      <c r="N156" s="82">
        <v>56000</v>
      </c>
      <c r="O156" s="83">
        <f t="shared" si="27"/>
        <v>54.82235714285715</v>
      </c>
      <c r="P156" s="59"/>
      <c r="Q156" s="151"/>
      <c r="R156" s="55"/>
      <c r="S156" s="55"/>
    </row>
    <row r="157" spans="1:20" ht="20.100000000000001" customHeight="1" x14ac:dyDescent="0.3">
      <c r="A157" s="1">
        <v>4</v>
      </c>
      <c r="B157" s="109" t="s">
        <v>150</v>
      </c>
      <c r="C157" s="80" t="s">
        <v>242</v>
      </c>
      <c r="D157" s="33">
        <v>24200</v>
      </c>
      <c r="E157" s="63">
        <f t="shared" si="22"/>
        <v>30416.666666666668</v>
      </c>
      <c r="F157" s="63">
        <v>196974.13</v>
      </c>
      <c r="G157" s="63">
        <f t="shared" si="20"/>
        <v>30416.666666666668</v>
      </c>
      <c r="H157" s="63">
        <v>0</v>
      </c>
      <c r="I157" s="81">
        <f t="shared" si="23"/>
        <v>30416.666666666668</v>
      </c>
      <c r="J157" s="64">
        <f t="shared" si="24"/>
        <v>221174.13</v>
      </c>
      <c r="K157" s="33">
        <f t="shared" si="25"/>
        <v>91250</v>
      </c>
      <c r="L157" s="65">
        <f t="shared" si="26"/>
        <v>242.38260821917811</v>
      </c>
      <c r="M157" s="155">
        <f>0+J157</f>
        <v>221174.13</v>
      </c>
      <c r="N157" s="82">
        <v>365000</v>
      </c>
      <c r="O157" s="83">
        <f t="shared" si="27"/>
        <v>60.595652054794527</v>
      </c>
      <c r="P157" s="59"/>
      <c r="Q157" s="151"/>
      <c r="R157" s="55"/>
      <c r="S157" s="55"/>
    </row>
    <row r="158" spans="1:20" ht="20.100000000000001" customHeight="1" x14ac:dyDescent="0.3">
      <c r="A158" s="1">
        <v>5</v>
      </c>
      <c r="B158" s="109" t="s">
        <v>151</v>
      </c>
      <c r="C158" s="80" t="s">
        <v>243</v>
      </c>
      <c r="D158" s="33"/>
      <c r="E158" s="63">
        <f t="shared" si="22"/>
        <v>4166.666666666667</v>
      </c>
      <c r="F158" s="63"/>
      <c r="G158" s="63">
        <f t="shared" si="20"/>
        <v>4166.666666666667</v>
      </c>
      <c r="H158" s="63">
        <v>0</v>
      </c>
      <c r="I158" s="81">
        <f t="shared" si="23"/>
        <v>4166.666666666667</v>
      </c>
      <c r="J158" s="64">
        <f t="shared" si="24"/>
        <v>0</v>
      </c>
      <c r="K158" s="33">
        <f t="shared" si="25"/>
        <v>12500</v>
      </c>
      <c r="L158" s="65">
        <f t="shared" si="26"/>
        <v>0</v>
      </c>
      <c r="M158" s="155">
        <f>0+J158</f>
        <v>0</v>
      </c>
      <c r="N158" s="82">
        <v>50000</v>
      </c>
      <c r="O158" s="83">
        <f t="shared" si="27"/>
        <v>0</v>
      </c>
      <c r="P158" s="59"/>
      <c r="Q158" s="151"/>
      <c r="R158" s="55"/>
      <c r="S158" s="55"/>
    </row>
    <row r="159" spans="1:20" ht="20.100000000000001" customHeight="1" x14ac:dyDescent="0.3">
      <c r="A159" s="1">
        <v>6</v>
      </c>
      <c r="B159" s="109" t="s">
        <v>119</v>
      </c>
      <c r="C159" s="80" t="s">
        <v>244</v>
      </c>
      <c r="D159" s="33"/>
      <c r="E159" s="63">
        <f t="shared" si="22"/>
        <v>1500</v>
      </c>
      <c r="F159" s="63"/>
      <c r="G159" s="63">
        <f t="shared" si="20"/>
        <v>1500</v>
      </c>
      <c r="H159" s="63">
        <v>0</v>
      </c>
      <c r="I159" s="81">
        <f t="shared" si="23"/>
        <v>1500</v>
      </c>
      <c r="J159" s="64">
        <f t="shared" si="24"/>
        <v>0</v>
      </c>
      <c r="K159" s="33">
        <f t="shared" si="25"/>
        <v>4500</v>
      </c>
      <c r="L159" s="65">
        <f t="shared" si="26"/>
        <v>0</v>
      </c>
      <c r="M159" s="155">
        <f>0+J159</f>
        <v>0</v>
      </c>
      <c r="N159" s="82">
        <v>18000</v>
      </c>
      <c r="O159" s="83">
        <f t="shared" si="27"/>
        <v>0</v>
      </c>
      <c r="P159" s="59"/>
      <c r="Q159" s="151"/>
      <c r="R159" s="55"/>
      <c r="S159" s="55"/>
    </row>
    <row r="160" spans="1:20" ht="20.100000000000001" customHeight="1" x14ac:dyDescent="0.3">
      <c r="A160" s="1">
        <v>7</v>
      </c>
      <c r="B160" s="109" t="s">
        <v>199</v>
      </c>
      <c r="C160" s="80" t="s">
        <v>245</v>
      </c>
      <c r="D160" s="33"/>
      <c r="E160" s="63">
        <f t="shared" si="22"/>
        <v>21666.666666666668</v>
      </c>
      <c r="F160" s="35">
        <v>38976</v>
      </c>
      <c r="G160" s="63">
        <f t="shared" si="20"/>
        <v>21666.666666666668</v>
      </c>
      <c r="H160" s="63">
        <v>29777.68</v>
      </c>
      <c r="I160" s="81">
        <f t="shared" si="23"/>
        <v>21666.666666666668</v>
      </c>
      <c r="J160" s="64">
        <f t="shared" si="24"/>
        <v>68753.679999999993</v>
      </c>
      <c r="K160" s="33">
        <f t="shared" si="25"/>
        <v>65000</v>
      </c>
      <c r="L160" s="65">
        <f t="shared" si="26"/>
        <v>105.7748923076923</v>
      </c>
      <c r="M160" s="155">
        <f>8066.64+J160</f>
        <v>76820.319999999992</v>
      </c>
      <c r="N160" s="82">
        <v>260000</v>
      </c>
      <c r="O160" s="83">
        <f t="shared" si="27"/>
        <v>29.54627692307692</v>
      </c>
      <c r="P160" s="59"/>
      <c r="Q160" s="151"/>
      <c r="R160" s="55"/>
      <c r="S160" s="55"/>
    </row>
    <row r="161" spans="1:19" ht="20.100000000000001" customHeight="1" x14ac:dyDescent="0.3">
      <c r="A161" s="1">
        <v>8</v>
      </c>
      <c r="B161" s="109" t="s">
        <v>200</v>
      </c>
      <c r="C161" s="80" t="s">
        <v>246</v>
      </c>
      <c r="D161" s="33"/>
      <c r="E161" s="63">
        <f t="shared" si="22"/>
        <v>12500</v>
      </c>
      <c r="F161" s="63"/>
      <c r="G161" s="63">
        <f t="shared" si="20"/>
        <v>12500</v>
      </c>
      <c r="H161" s="63">
        <v>0</v>
      </c>
      <c r="I161" s="81">
        <f t="shared" si="23"/>
        <v>12500</v>
      </c>
      <c r="J161" s="64">
        <f t="shared" si="24"/>
        <v>0</v>
      </c>
      <c r="K161" s="33">
        <f t="shared" si="25"/>
        <v>37500</v>
      </c>
      <c r="L161" s="65">
        <f t="shared" si="26"/>
        <v>0</v>
      </c>
      <c r="M161" s="155">
        <f>0+J161</f>
        <v>0</v>
      </c>
      <c r="N161" s="82">
        <v>150000</v>
      </c>
      <c r="O161" s="83">
        <f t="shared" si="27"/>
        <v>0</v>
      </c>
      <c r="P161" s="59"/>
      <c r="Q161" s="151"/>
      <c r="R161" s="55"/>
      <c r="S161" s="55"/>
    </row>
    <row r="162" spans="1:19" ht="20.100000000000001" customHeight="1" x14ac:dyDescent="0.3">
      <c r="A162" s="1">
        <v>9</v>
      </c>
      <c r="B162" s="109" t="s">
        <v>202</v>
      </c>
      <c r="C162" s="80" t="s">
        <v>247</v>
      </c>
      <c r="D162" s="33"/>
      <c r="E162" s="63">
        <f t="shared" si="22"/>
        <v>16666.666666666668</v>
      </c>
      <c r="F162" s="63"/>
      <c r="G162" s="63">
        <f t="shared" si="20"/>
        <v>16666.666666666668</v>
      </c>
      <c r="H162" s="63">
        <v>99760</v>
      </c>
      <c r="I162" s="81">
        <f t="shared" si="23"/>
        <v>16666.666666666668</v>
      </c>
      <c r="J162" s="64">
        <f t="shared" si="24"/>
        <v>99760</v>
      </c>
      <c r="K162" s="33">
        <f t="shared" si="25"/>
        <v>50000</v>
      </c>
      <c r="L162" s="65">
        <f t="shared" si="26"/>
        <v>199.52</v>
      </c>
      <c r="M162" s="155">
        <f>0+J162</f>
        <v>99760</v>
      </c>
      <c r="N162" s="82">
        <v>200000</v>
      </c>
      <c r="O162" s="83">
        <f t="shared" si="27"/>
        <v>49.88</v>
      </c>
      <c r="P162" s="59"/>
      <c r="Q162" s="151"/>
      <c r="R162" s="55"/>
      <c r="S162" s="55"/>
    </row>
    <row r="163" spans="1:19" ht="20.100000000000001" customHeight="1" x14ac:dyDescent="0.3">
      <c r="B163" s="109" t="s">
        <v>228</v>
      </c>
      <c r="C163" s="80" t="s">
        <v>248</v>
      </c>
      <c r="D163" s="33"/>
      <c r="E163" s="63">
        <f t="shared" si="22"/>
        <v>1666.6666666666667</v>
      </c>
      <c r="F163" s="63"/>
      <c r="G163" s="63">
        <f t="shared" si="20"/>
        <v>1666.6666666666667</v>
      </c>
      <c r="H163" s="63">
        <v>0</v>
      </c>
      <c r="I163" s="81">
        <f t="shared" si="23"/>
        <v>1666.6666666666667</v>
      </c>
      <c r="J163" s="64">
        <f t="shared" si="24"/>
        <v>0</v>
      </c>
      <c r="K163" s="33">
        <f t="shared" si="25"/>
        <v>5000</v>
      </c>
      <c r="L163" s="65">
        <f t="shared" si="26"/>
        <v>0</v>
      </c>
      <c r="M163" s="155">
        <f>0+J163</f>
        <v>0</v>
      </c>
      <c r="N163" s="82">
        <v>20000</v>
      </c>
      <c r="O163" s="83">
        <f t="shared" si="27"/>
        <v>0</v>
      </c>
      <c r="P163" s="59"/>
      <c r="Q163" s="151"/>
      <c r="R163" s="55"/>
      <c r="S163" s="55"/>
    </row>
    <row r="164" spans="1:19" ht="20.100000000000001" customHeight="1" x14ac:dyDescent="0.3">
      <c r="B164" s="109" t="s">
        <v>229</v>
      </c>
      <c r="C164" s="80" t="s">
        <v>249</v>
      </c>
      <c r="D164" s="33"/>
      <c r="E164" s="63">
        <f t="shared" si="22"/>
        <v>4166.666666666667</v>
      </c>
      <c r="F164" s="63"/>
      <c r="G164" s="63">
        <f t="shared" si="20"/>
        <v>4166.666666666667</v>
      </c>
      <c r="H164" s="63">
        <v>0</v>
      </c>
      <c r="I164" s="81">
        <f t="shared" si="23"/>
        <v>4166.666666666667</v>
      </c>
      <c r="J164" s="64">
        <f t="shared" si="24"/>
        <v>0</v>
      </c>
      <c r="K164" s="33">
        <f t="shared" si="25"/>
        <v>12500</v>
      </c>
      <c r="L164" s="65">
        <f t="shared" si="26"/>
        <v>0</v>
      </c>
      <c r="M164" s="155">
        <f>0+J164</f>
        <v>0</v>
      </c>
      <c r="N164" s="82">
        <v>50000</v>
      </c>
      <c r="O164" s="83">
        <f t="shared" si="27"/>
        <v>0</v>
      </c>
      <c r="P164" s="59"/>
      <c r="Q164" s="151"/>
      <c r="R164" s="55"/>
      <c r="S164" s="55"/>
    </row>
    <row r="165" spans="1:19" ht="20.100000000000001" customHeight="1" x14ac:dyDescent="0.3">
      <c r="B165" s="109" t="s">
        <v>230</v>
      </c>
      <c r="C165" s="80" t="s">
        <v>198</v>
      </c>
      <c r="D165" s="33">
        <v>6921</v>
      </c>
      <c r="E165" s="63">
        <f t="shared" si="22"/>
        <v>583.33333333333337</v>
      </c>
      <c r="F165" s="63"/>
      <c r="G165" s="63">
        <f t="shared" si="20"/>
        <v>583.33333333333337</v>
      </c>
      <c r="H165" s="63">
        <v>0</v>
      </c>
      <c r="I165" s="81">
        <f t="shared" si="23"/>
        <v>583.33333333333337</v>
      </c>
      <c r="J165" s="64">
        <f t="shared" si="24"/>
        <v>6921</v>
      </c>
      <c r="K165" s="33">
        <f t="shared" si="25"/>
        <v>1750</v>
      </c>
      <c r="L165" s="65">
        <f t="shared" si="26"/>
        <v>395.48571428571432</v>
      </c>
      <c r="M165" s="155">
        <f>0+J165</f>
        <v>6921</v>
      </c>
      <c r="N165" s="82">
        <v>7000</v>
      </c>
      <c r="O165" s="83">
        <f t="shared" si="27"/>
        <v>98.871428571428581</v>
      </c>
      <c r="P165" s="59"/>
      <c r="Q165" s="151"/>
      <c r="R165" s="55"/>
      <c r="S165" s="55"/>
    </row>
    <row r="166" spans="1:19" ht="20.100000000000001" customHeight="1" x14ac:dyDescent="0.3">
      <c r="B166" s="109" t="s">
        <v>233</v>
      </c>
      <c r="C166" s="80" t="s">
        <v>250</v>
      </c>
      <c r="D166" s="33">
        <v>26023.06</v>
      </c>
      <c r="E166" s="63">
        <f t="shared" si="22"/>
        <v>15283.333333333334</v>
      </c>
      <c r="F166" s="63"/>
      <c r="G166" s="63">
        <f t="shared" si="20"/>
        <v>15283.333333333334</v>
      </c>
      <c r="H166" s="63">
        <v>0</v>
      </c>
      <c r="I166" s="81">
        <f t="shared" si="23"/>
        <v>15283.333333333334</v>
      </c>
      <c r="J166" s="64">
        <f t="shared" si="24"/>
        <v>26023.06</v>
      </c>
      <c r="K166" s="33">
        <f t="shared" si="25"/>
        <v>45850</v>
      </c>
      <c r="L166" s="65">
        <f t="shared" si="26"/>
        <v>56.756946564885503</v>
      </c>
      <c r="M166" s="155">
        <f>8719.95+J166</f>
        <v>34743.01</v>
      </c>
      <c r="N166" s="82">
        <v>183400</v>
      </c>
      <c r="O166" s="83">
        <f t="shared" si="27"/>
        <v>18.943844056706656</v>
      </c>
      <c r="P166" s="59"/>
      <c r="Q166" s="151"/>
      <c r="R166" s="55"/>
      <c r="S166" s="55"/>
    </row>
    <row r="167" spans="1:19" ht="20.100000000000001" customHeight="1" x14ac:dyDescent="0.3">
      <c r="B167" s="109" t="s">
        <v>251</v>
      </c>
      <c r="C167" s="80" t="s">
        <v>201</v>
      </c>
      <c r="D167" s="33"/>
      <c r="E167" s="63">
        <f t="shared" si="22"/>
        <v>1708.3333333333333</v>
      </c>
      <c r="F167" s="63"/>
      <c r="G167" s="63">
        <f t="shared" si="20"/>
        <v>1708.3333333333333</v>
      </c>
      <c r="H167" s="63">
        <v>0</v>
      </c>
      <c r="I167" s="81">
        <f t="shared" si="23"/>
        <v>1708.3333333333333</v>
      </c>
      <c r="J167" s="64">
        <f t="shared" si="24"/>
        <v>0</v>
      </c>
      <c r="K167" s="33">
        <f t="shared" si="25"/>
        <v>5125</v>
      </c>
      <c r="L167" s="65">
        <f t="shared" si="26"/>
        <v>0</v>
      </c>
      <c r="M167" s="155">
        <f>0+J167</f>
        <v>0</v>
      </c>
      <c r="N167" s="82">
        <v>20500</v>
      </c>
      <c r="O167" s="83">
        <f t="shared" si="27"/>
        <v>0</v>
      </c>
      <c r="P167" s="59"/>
      <c r="Q167" s="151"/>
      <c r="R167" s="55"/>
      <c r="S167" s="55"/>
    </row>
    <row r="168" spans="1:19" ht="20.100000000000001" customHeight="1" x14ac:dyDescent="0.3">
      <c r="A168" s="1">
        <v>10</v>
      </c>
      <c r="B168" s="109" t="s">
        <v>239</v>
      </c>
      <c r="C168" s="80" t="s">
        <v>252</v>
      </c>
      <c r="D168" s="33">
        <v>7999.99</v>
      </c>
      <c r="E168" s="63">
        <f t="shared" si="22"/>
        <v>14083.333333333334</v>
      </c>
      <c r="F168" s="63"/>
      <c r="G168" s="63">
        <f t="shared" si="20"/>
        <v>14083.333333333334</v>
      </c>
      <c r="H168" s="63">
        <v>0</v>
      </c>
      <c r="I168" s="81">
        <f>G168</f>
        <v>14083.333333333334</v>
      </c>
      <c r="J168" s="64">
        <f t="shared" si="24"/>
        <v>7999.99</v>
      </c>
      <c r="K168" s="33">
        <f t="shared" si="25"/>
        <v>42250</v>
      </c>
      <c r="L168" s="65">
        <f t="shared" si="26"/>
        <v>18.934887573964495</v>
      </c>
      <c r="M168" s="155">
        <f>68559.91+J168</f>
        <v>76559.900000000009</v>
      </c>
      <c r="N168" s="82">
        <v>169000</v>
      </c>
      <c r="O168" s="83">
        <f t="shared" si="27"/>
        <v>45.301715976331366</v>
      </c>
      <c r="P168" s="59"/>
      <c r="Q168" s="151"/>
      <c r="R168" s="55"/>
      <c r="S168" s="55"/>
    </row>
    <row r="169" spans="1:19" ht="20.100000000000001" customHeight="1" x14ac:dyDescent="0.3">
      <c r="A169" s="1">
        <v>11</v>
      </c>
      <c r="B169" s="109" t="s">
        <v>254</v>
      </c>
      <c r="C169" s="80" t="s">
        <v>253</v>
      </c>
      <c r="D169" s="33"/>
      <c r="E169" s="63">
        <f t="shared" si="22"/>
        <v>5250</v>
      </c>
      <c r="F169" s="63"/>
      <c r="G169" s="63">
        <f t="shared" si="20"/>
        <v>5250</v>
      </c>
      <c r="H169" s="63">
        <v>0</v>
      </c>
      <c r="I169" s="81">
        <f t="shared" si="23"/>
        <v>5250</v>
      </c>
      <c r="J169" s="64">
        <f t="shared" ref="J169:K254" si="28">+D169+F169+H169</f>
        <v>0</v>
      </c>
      <c r="K169" s="33">
        <f t="shared" si="25"/>
        <v>15750</v>
      </c>
      <c r="L169" s="65">
        <f t="shared" si="26"/>
        <v>0</v>
      </c>
      <c r="M169" s="155">
        <f>46990+J169</f>
        <v>46990</v>
      </c>
      <c r="N169" s="82">
        <v>63000</v>
      </c>
      <c r="O169" s="83">
        <f t="shared" si="27"/>
        <v>74.587301587301596</v>
      </c>
      <c r="P169" s="59"/>
      <c r="Q169" s="151"/>
      <c r="R169" s="55"/>
      <c r="S169" s="55"/>
    </row>
    <row r="170" spans="1:19" ht="20.100000000000001" customHeight="1" x14ac:dyDescent="0.3">
      <c r="A170" s="1">
        <v>12</v>
      </c>
      <c r="B170" s="109" t="s">
        <v>255</v>
      </c>
      <c r="C170" s="80" t="s">
        <v>203</v>
      </c>
      <c r="D170" s="33"/>
      <c r="E170" s="63">
        <f t="shared" si="22"/>
        <v>916.66666666666663</v>
      </c>
      <c r="F170" s="63"/>
      <c r="G170" s="63">
        <f t="shared" si="20"/>
        <v>916.66666666666663</v>
      </c>
      <c r="H170" s="63">
        <v>0</v>
      </c>
      <c r="I170" s="81">
        <f t="shared" si="23"/>
        <v>916.66666666666663</v>
      </c>
      <c r="J170" s="64">
        <f t="shared" si="28"/>
        <v>0</v>
      </c>
      <c r="K170" s="33">
        <f t="shared" si="25"/>
        <v>2750</v>
      </c>
      <c r="L170" s="65">
        <f t="shared" si="26"/>
        <v>0</v>
      </c>
      <c r="M170" s="155">
        <f>0+J170</f>
        <v>0</v>
      </c>
      <c r="N170" s="82">
        <v>11000</v>
      </c>
      <c r="O170" s="83">
        <f t="shared" si="27"/>
        <v>0</v>
      </c>
      <c r="P170" s="59"/>
      <c r="Q170" s="151"/>
      <c r="R170" s="55"/>
      <c r="S170" s="55"/>
    </row>
    <row r="171" spans="1:19" ht="20.100000000000001" customHeight="1" x14ac:dyDescent="0.3">
      <c r="A171" s="1">
        <v>13</v>
      </c>
      <c r="B171" s="109" t="s">
        <v>256</v>
      </c>
      <c r="C171" s="80" t="s">
        <v>413</v>
      </c>
      <c r="D171" s="33">
        <v>691600.38</v>
      </c>
      <c r="E171" s="63">
        <f t="shared" si="22"/>
        <v>1563145.8333333333</v>
      </c>
      <c r="F171" s="63">
        <v>1429283.3</v>
      </c>
      <c r="G171" s="63">
        <f t="shared" si="20"/>
        <v>1563145.8333333333</v>
      </c>
      <c r="H171" s="63">
        <v>3383131.18</v>
      </c>
      <c r="I171" s="81">
        <f t="shared" si="23"/>
        <v>1563145.8333333333</v>
      </c>
      <c r="J171" s="64">
        <f t="shared" si="28"/>
        <v>5504014.8600000003</v>
      </c>
      <c r="K171" s="33">
        <f t="shared" si="25"/>
        <v>4689437.5</v>
      </c>
      <c r="L171" s="65">
        <f t="shared" si="26"/>
        <v>117.37047055217178</v>
      </c>
      <c r="M171" s="155">
        <f>6439155.94+J171</f>
        <v>11943170.800000001</v>
      </c>
      <c r="N171" s="82">
        <v>18757750</v>
      </c>
      <c r="O171" s="83">
        <f t="shared" si="27"/>
        <v>63.670593754581439</v>
      </c>
      <c r="P171" s="59"/>
      <c r="Q171" s="151"/>
      <c r="R171" s="55"/>
      <c r="S171" s="55"/>
    </row>
    <row r="172" spans="1:19" ht="20.100000000000001" customHeight="1" x14ac:dyDescent="0.3">
      <c r="A172" s="1">
        <v>14</v>
      </c>
      <c r="B172" s="109" t="s">
        <v>24</v>
      </c>
      <c r="C172" s="80" t="s">
        <v>257</v>
      </c>
      <c r="D172" s="33"/>
      <c r="E172" s="63">
        <f t="shared" si="22"/>
        <v>2767.9500000000003</v>
      </c>
      <c r="F172" s="63"/>
      <c r="G172" s="63">
        <f t="shared" si="20"/>
        <v>2767.9500000000003</v>
      </c>
      <c r="H172" s="63">
        <v>0</v>
      </c>
      <c r="I172" s="81">
        <f t="shared" si="23"/>
        <v>2767.9500000000003</v>
      </c>
      <c r="J172" s="64">
        <f t="shared" si="28"/>
        <v>0</v>
      </c>
      <c r="K172" s="33">
        <f t="shared" si="25"/>
        <v>8303.85</v>
      </c>
      <c r="L172" s="65">
        <f t="shared" si="26"/>
        <v>0</v>
      </c>
      <c r="M172" s="155">
        <f>33215.4+J172</f>
        <v>33215.4</v>
      </c>
      <c r="N172" s="82">
        <v>33215.4</v>
      </c>
      <c r="O172" s="83">
        <f t="shared" si="27"/>
        <v>100</v>
      </c>
      <c r="P172" s="59"/>
      <c r="Q172" s="151"/>
      <c r="R172" s="55"/>
      <c r="S172" s="55"/>
    </row>
    <row r="173" spans="1:19" ht="20.100000000000001" customHeight="1" x14ac:dyDescent="0.3">
      <c r="A173" s="1">
        <v>15</v>
      </c>
      <c r="B173" s="109" t="s">
        <v>25</v>
      </c>
      <c r="C173" s="80" t="s">
        <v>205</v>
      </c>
      <c r="D173" s="33"/>
      <c r="E173" s="63">
        <f t="shared" si="22"/>
        <v>2172.1658333333335</v>
      </c>
      <c r="F173" s="63"/>
      <c r="G173" s="63">
        <f t="shared" si="20"/>
        <v>2172.1658333333335</v>
      </c>
      <c r="H173" s="63">
        <v>0</v>
      </c>
      <c r="I173" s="81">
        <f t="shared" si="23"/>
        <v>2172.1658333333335</v>
      </c>
      <c r="J173" s="64">
        <f t="shared" si="28"/>
        <v>0</v>
      </c>
      <c r="K173" s="33">
        <f t="shared" si="25"/>
        <v>6516.4975000000004</v>
      </c>
      <c r="L173" s="65">
        <f t="shared" si="26"/>
        <v>0</v>
      </c>
      <c r="M173" s="155">
        <f>26065.99+J173</f>
        <v>26065.99</v>
      </c>
      <c r="N173" s="82">
        <v>26065.99</v>
      </c>
      <c r="O173" s="83">
        <f t="shared" si="27"/>
        <v>100</v>
      </c>
      <c r="P173" s="59"/>
      <c r="Q173" s="151"/>
      <c r="R173" s="55"/>
      <c r="S173" s="55"/>
    </row>
    <row r="174" spans="1:19" ht="20.100000000000001" customHeight="1" x14ac:dyDescent="0.3">
      <c r="A174" s="1">
        <v>16</v>
      </c>
      <c r="B174" s="109" t="s">
        <v>120</v>
      </c>
      <c r="C174" s="80" t="s">
        <v>258</v>
      </c>
      <c r="D174" s="33"/>
      <c r="E174" s="63">
        <f t="shared" si="22"/>
        <v>8333.3333333333339</v>
      </c>
      <c r="F174" s="63"/>
      <c r="G174" s="63">
        <f t="shared" si="20"/>
        <v>8333.3333333333339</v>
      </c>
      <c r="H174" s="63">
        <v>0</v>
      </c>
      <c r="I174" s="81">
        <f t="shared" si="23"/>
        <v>8333.3333333333339</v>
      </c>
      <c r="J174" s="64">
        <f t="shared" si="28"/>
        <v>0</v>
      </c>
      <c r="K174" s="33">
        <f t="shared" si="25"/>
        <v>25000</v>
      </c>
      <c r="L174" s="65">
        <f t="shared" si="26"/>
        <v>0</v>
      </c>
      <c r="M174" s="155">
        <v>0</v>
      </c>
      <c r="N174" s="82">
        <v>100000</v>
      </c>
      <c r="O174" s="83">
        <f t="shared" si="27"/>
        <v>0</v>
      </c>
      <c r="P174" s="59"/>
      <c r="Q174" s="151"/>
      <c r="R174" s="55"/>
      <c r="S174" s="55"/>
    </row>
    <row r="175" spans="1:19" ht="20.100000000000001" customHeight="1" x14ac:dyDescent="0.3">
      <c r="A175" s="1">
        <v>17</v>
      </c>
      <c r="B175" s="109" t="s">
        <v>208</v>
      </c>
      <c r="C175" s="80" t="s">
        <v>240</v>
      </c>
      <c r="D175" s="33"/>
      <c r="E175" s="63">
        <f t="shared" si="22"/>
        <v>7833.333333333333</v>
      </c>
      <c r="F175" s="63"/>
      <c r="G175" s="63">
        <f t="shared" si="20"/>
        <v>7833.333333333333</v>
      </c>
      <c r="H175" s="63">
        <v>0</v>
      </c>
      <c r="I175" s="81">
        <f t="shared" si="23"/>
        <v>7833.333333333333</v>
      </c>
      <c r="J175" s="64">
        <f t="shared" si="28"/>
        <v>0</v>
      </c>
      <c r="K175" s="33">
        <f t="shared" si="25"/>
        <v>23500</v>
      </c>
      <c r="L175" s="65">
        <f t="shared" si="26"/>
        <v>0</v>
      </c>
      <c r="M175" s="155">
        <f>0+J175</f>
        <v>0</v>
      </c>
      <c r="N175" s="82">
        <v>94000</v>
      </c>
      <c r="O175" s="83">
        <f t="shared" si="27"/>
        <v>0</v>
      </c>
      <c r="P175" s="59"/>
      <c r="Q175" s="151"/>
      <c r="R175" s="55"/>
      <c r="S175" s="55"/>
    </row>
    <row r="176" spans="1:19" ht="20.100000000000001" customHeight="1" x14ac:dyDescent="0.3">
      <c r="A176" s="1">
        <v>18</v>
      </c>
      <c r="B176" s="109" t="s">
        <v>121</v>
      </c>
      <c r="C176" s="80" t="s">
        <v>206</v>
      </c>
      <c r="D176" s="33"/>
      <c r="E176" s="63">
        <f t="shared" si="22"/>
        <v>13750</v>
      </c>
      <c r="F176" s="63"/>
      <c r="G176" s="63">
        <f t="shared" si="20"/>
        <v>13750</v>
      </c>
      <c r="H176" s="63">
        <v>0</v>
      </c>
      <c r="I176" s="81">
        <f t="shared" si="23"/>
        <v>13750</v>
      </c>
      <c r="J176" s="64">
        <f t="shared" si="28"/>
        <v>0</v>
      </c>
      <c r="K176" s="33">
        <f t="shared" si="25"/>
        <v>41250</v>
      </c>
      <c r="L176" s="65">
        <f t="shared" si="26"/>
        <v>0</v>
      </c>
      <c r="M176" s="155">
        <v>0</v>
      </c>
      <c r="N176" s="82">
        <v>165000</v>
      </c>
      <c r="O176" s="83">
        <f t="shared" si="27"/>
        <v>0</v>
      </c>
      <c r="P176" s="59"/>
      <c r="Q176" s="151"/>
      <c r="R176" s="55"/>
      <c r="S176" s="55"/>
    </row>
    <row r="177" spans="1:19" ht="20.100000000000001" customHeight="1" x14ac:dyDescent="0.3">
      <c r="A177" s="1">
        <v>21</v>
      </c>
      <c r="B177" s="109" t="s">
        <v>26</v>
      </c>
      <c r="C177" s="80" t="s">
        <v>207</v>
      </c>
      <c r="D177" s="33"/>
      <c r="E177" s="63">
        <f t="shared" si="22"/>
        <v>1632.4975000000002</v>
      </c>
      <c r="F177" s="63"/>
      <c r="G177" s="63">
        <f t="shared" si="20"/>
        <v>1632.4975000000002</v>
      </c>
      <c r="H177" s="81">
        <v>0</v>
      </c>
      <c r="I177" s="81">
        <f>G177</f>
        <v>1632.4975000000002</v>
      </c>
      <c r="J177" s="64">
        <f t="shared" si="28"/>
        <v>0</v>
      </c>
      <c r="K177" s="33">
        <f t="shared" si="25"/>
        <v>4897.4925000000003</v>
      </c>
      <c r="L177" s="65">
        <f t="shared" si="26"/>
        <v>0</v>
      </c>
      <c r="M177" s="155">
        <f>19589.97+J177</f>
        <v>19589.97</v>
      </c>
      <c r="N177" s="82">
        <v>19589.97</v>
      </c>
      <c r="O177" s="83">
        <f t="shared" si="27"/>
        <v>100</v>
      </c>
      <c r="P177" s="59"/>
      <c r="Q177" s="151"/>
      <c r="R177" s="55"/>
      <c r="S177" s="55"/>
    </row>
    <row r="178" spans="1:19" ht="20.100000000000001" customHeight="1" x14ac:dyDescent="0.3">
      <c r="A178" s="1">
        <v>22</v>
      </c>
      <c r="B178" s="109" t="s">
        <v>122</v>
      </c>
      <c r="C178" s="80" t="s">
        <v>259</v>
      </c>
      <c r="D178" s="33"/>
      <c r="E178" s="63">
        <f t="shared" si="22"/>
        <v>2500</v>
      </c>
      <c r="F178" s="63"/>
      <c r="G178" s="63">
        <f t="shared" si="20"/>
        <v>2500</v>
      </c>
      <c r="H178" s="81">
        <v>0</v>
      </c>
      <c r="I178" s="81">
        <f t="shared" si="23"/>
        <v>2500</v>
      </c>
      <c r="J178" s="64">
        <f t="shared" si="28"/>
        <v>0</v>
      </c>
      <c r="K178" s="33">
        <f t="shared" si="25"/>
        <v>7500</v>
      </c>
      <c r="L178" s="65">
        <f t="shared" si="26"/>
        <v>0</v>
      </c>
      <c r="M178" s="155">
        <f>0+J178</f>
        <v>0</v>
      </c>
      <c r="N178" s="82">
        <v>30000</v>
      </c>
      <c r="O178" s="83">
        <f t="shared" si="27"/>
        <v>0</v>
      </c>
      <c r="P178" s="59"/>
      <c r="Q178" s="151"/>
      <c r="R178" s="55"/>
      <c r="S178" s="55"/>
    </row>
    <row r="179" spans="1:19" ht="20.100000000000001" customHeight="1" x14ac:dyDescent="0.3">
      <c r="A179" s="1">
        <v>23</v>
      </c>
      <c r="B179" s="109" t="s">
        <v>27</v>
      </c>
      <c r="C179" s="80" t="s">
        <v>210</v>
      </c>
      <c r="D179" s="33">
        <v>26000</v>
      </c>
      <c r="E179" s="63">
        <f t="shared" si="22"/>
        <v>46916.666666666664</v>
      </c>
      <c r="F179" s="63"/>
      <c r="G179" s="63">
        <f t="shared" si="20"/>
        <v>46916.666666666664</v>
      </c>
      <c r="H179" s="81">
        <v>96045.6</v>
      </c>
      <c r="I179" s="81">
        <f t="shared" si="23"/>
        <v>46916.666666666664</v>
      </c>
      <c r="J179" s="64">
        <f t="shared" si="28"/>
        <v>122045.6</v>
      </c>
      <c r="K179" s="33">
        <f t="shared" si="25"/>
        <v>140750</v>
      </c>
      <c r="L179" s="65">
        <f t="shared" si="26"/>
        <v>86.710905861456496</v>
      </c>
      <c r="M179" s="155">
        <f>76685.6+J179</f>
        <v>198731.2</v>
      </c>
      <c r="N179" s="82">
        <v>563000</v>
      </c>
      <c r="O179" s="83">
        <f t="shared" si="27"/>
        <v>35.298614564831269</v>
      </c>
      <c r="P179" s="59"/>
      <c r="Q179" s="151"/>
      <c r="R179" s="55"/>
      <c r="S179" s="55"/>
    </row>
    <row r="180" spans="1:19" ht="20.100000000000001" customHeight="1" x14ac:dyDescent="0.3">
      <c r="A180" s="1">
        <v>24</v>
      </c>
      <c r="B180" s="109" t="s">
        <v>28</v>
      </c>
      <c r="C180" s="80" t="s">
        <v>260</v>
      </c>
      <c r="D180" s="33"/>
      <c r="E180" s="63">
        <f t="shared" si="22"/>
        <v>12083.333333333334</v>
      </c>
      <c r="F180" s="63">
        <v>1809.6</v>
      </c>
      <c r="G180" s="63">
        <f t="shared" si="20"/>
        <v>12083.333333333334</v>
      </c>
      <c r="H180" s="81">
        <v>26847.040000000001</v>
      </c>
      <c r="I180" s="81">
        <f t="shared" si="23"/>
        <v>12083.333333333334</v>
      </c>
      <c r="J180" s="64">
        <f t="shared" si="28"/>
        <v>28656.639999999999</v>
      </c>
      <c r="K180" s="33">
        <f t="shared" si="25"/>
        <v>36250</v>
      </c>
      <c r="L180" s="65">
        <f t="shared" si="26"/>
        <v>79.052800000000005</v>
      </c>
      <c r="M180" s="155">
        <f>22921.6+J180</f>
        <v>51578.239999999998</v>
      </c>
      <c r="N180" s="82">
        <v>145000</v>
      </c>
      <c r="O180" s="83">
        <f t="shared" si="27"/>
        <v>35.571199999999997</v>
      </c>
      <c r="P180" s="59"/>
      <c r="Q180" s="151"/>
      <c r="R180" s="55"/>
      <c r="S180" s="55"/>
    </row>
    <row r="181" spans="1:19" ht="20.100000000000001" customHeight="1" x14ac:dyDescent="0.3">
      <c r="A181" s="1">
        <v>25</v>
      </c>
      <c r="B181" s="109" t="s">
        <v>29</v>
      </c>
      <c r="C181" s="80" t="s">
        <v>211</v>
      </c>
      <c r="D181" s="33"/>
      <c r="E181" s="63">
        <f t="shared" si="22"/>
        <v>8750</v>
      </c>
      <c r="F181" s="63"/>
      <c r="G181" s="63">
        <f t="shared" si="20"/>
        <v>8750</v>
      </c>
      <c r="H181" s="81">
        <v>438</v>
      </c>
      <c r="I181" s="81">
        <f t="shared" si="23"/>
        <v>8750</v>
      </c>
      <c r="J181" s="64">
        <f t="shared" si="28"/>
        <v>438</v>
      </c>
      <c r="K181" s="33">
        <f t="shared" si="25"/>
        <v>26250</v>
      </c>
      <c r="L181" s="65">
        <f t="shared" si="26"/>
        <v>1.6685714285714286</v>
      </c>
      <c r="M181" s="155">
        <f>0+J181</f>
        <v>438</v>
      </c>
      <c r="N181" s="82">
        <v>105000</v>
      </c>
      <c r="O181" s="83">
        <f t="shared" si="27"/>
        <v>0.41714285714285715</v>
      </c>
      <c r="P181" s="59"/>
      <c r="Q181" s="151"/>
      <c r="R181" s="55"/>
      <c r="S181" s="55"/>
    </row>
    <row r="182" spans="1:19" ht="20.100000000000001" customHeight="1" x14ac:dyDescent="0.3">
      <c r="A182" s="1">
        <v>26</v>
      </c>
      <c r="B182" s="109" t="s">
        <v>30</v>
      </c>
      <c r="C182" s="80" t="s">
        <v>261</v>
      </c>
      <c r="D182" s="33"/>
      <c r="E182" s="63">
        <f t="shared" si="22"/>
        <v>4166.666666666667</v>
      </c>
      <c r="F182" s="63"/>
      <c r="G182" s="63">
        <f t="shared" si="20"/>
        <v>4166.666666666667</v>
      </c>
      <c r="H182" s="81">
        <v>0</v>
      </c>
      <c r="I182" s="81">
        <f t="shared" si="23"/>
        <v>4166.666666666667</v>
      </c>
      <c r="J182" s="64">
        <f t="shared" si="28"/>
        <v>0</v>
      </c>
      <c r="K182" s="33">
        <f t="shared" si="25"/>
        <v>12500</v>
      </c>
      <c r="L182" s="65">
        <f t="shared" si="26"/>
        <v>0</v>
      </c>
      <c r="M182" s="155">
        <f>0+J182</f>
        <v>0</v>
      </c>
      <c r="N182" s="82">
        <v>50000</v>
      </c>
      <c r="O182" s="83">
        <f t="shared" si="27"/>
        <v>0</v>
      </c>
      <c r="P182" s="59"/>
      <c r="Q182" s="151"/>
      <c r="R182" s="55"/>
      <c r="S182" s="55"/>
    </row>
    <row r="183" spans="1:19" ht="20.100000000000001" customHeight="1" x14ac:dyDescent="0.3">
      <c r="A183" s="1">
        <v>27</v>
      </c>
      <c r="B183" s="109" t="s">
        <v>123</v>
      </c>
      <c r="C183" s="80" t="s">
        <v>209</v>
      </c>
      <c r="D183" s="33"/>
      <c r="E183" s="63">
        <f t="shared" si="22"/>
        <v>16666.666666666668</v>
      </c>
      <c r="F183" s="63"/>
      <c r="G183" s="63">
        <f t="shared" si="20"/>
        <v>16666.666666666668</v>
      </c>
      <c r="H183" s="81">
        <v>161630.63</v>
      </c>
      <c r="I183" s="81">
        <f t="shared" si="23"/>
        <v>16666.666666666668</v>
      </c>
      <c r="J183" s="64">
        <f t="shared" si="28"/>
        <v>161630.63</v>
      </c>
      <c r="K183" s="33">
        <f t="shared" si="25"/>
        <v>50000</v>
      </c>
      <c r="L183" s="65">
        <f t="shared" si="26"/>
        <v>323.26125999999999</v>
      </c>
      <c r="M183" s="155">
        <f>0+J183</f>
        <v>161630.63</v>
      </c>
      <c r="N183" s="82">
        <v>200000</v>
      </c>
      <c r="O183" s="83">
        <f t="shared" si="27"/>
        <v>80.815314999999998</v>
      </c>
      <c r="P183" s="59"/>
      <c r="Q183" s="151"/>
      <c r="R183" s="55"/>
      <c r="S183" s="55"/>
    </row>
    <row r="184" spans="1:19" ht="20.100000000000001" customHeight="1" x14ac:dyDescent="0.3">
      <c r="A184" s="1">
        <v>28</v>
      </c>
      <c r="B184" s="109" t="s">
        <v>124</v>
      </c>
      <c r="C184" s="80" t="s">
        <v>204</v>
      </c>
      <c r="D184" s="33"/>
      <c r="E184" s="63">
        <f t="shared" si="22"/>
        <v>5771.6658333333335</v>
      </c>
      <c r="F184" s="143"/>
      <c r="G184" s="63">
        <f t="shared" ref="G184:G254" si="29">E184</f>
        <v>5771.6658333333335</v>
      </c>
      <c r="H184" s="63"/>
      <c r="I184" s="81">
        <f t="shared" si="23"/>
        <v>5771.6658333333335</v>
      </c>
      <c r="J184" s="64">
        <f t="shared" si="28"/>
        <v>0</v>
      </c>
      <c r="K184" s="33">
        <f t="shared" si="25"/>
        <v>17314.997500000001</v>
      </c>
      <c r="L184" s="65">
        <f t="shared" si="26"/>
        <v>0</v>
      </c>
      <c r="M184" s="155">
        <f>69259.99+J184</f>
        <v>69259.990000000005</v>
      </c>
      <c r="N184" s="82">
        <v>69259.990000000005</v>
      </c>
      <c r="O184" s="83">
        <f t="shared" si="27"/>
        <v>100</v>
      </c>
      <c r="P184" s="59"/>
      <c r="Q184" s="151"/>
      <c r="R184" s="55"/>
      <c r="S184" s="55"/>
    </row>
    <row r="185" spans="1:19" ht="20.100000000000001" customHeight="1" x14ac:dyDescent="0.3">
      <c r="B185" s="109" t="s">
        <v>31</v>
      </c>
      <c r="C185" s="80" t="s">
        <v>214</v>
      </c>
      <c r="D185" s="33"/>
      <c r="E185" s="63">
        <f t="shared" si="22"/>
        <v>16666.666666666668</v>
      </c>
      <c r="F185" s="143"/>
      <c r="G185" s="63">
        <f t="shared" si="29"/>
        <v>16666.666666666668</v>
      </c>
      <c r="H185" s="33"/>
      <c r="I185" s="81">
        <f t="shared" si="23"/>
        <v>16666.666666666668</v>
      </c>
      <c r="J185" s="64">
        <f t="shared" si="28"/>
        <v>0</v>
      </c>
      <c r="K185" s="33">
        <f t="shared" si="25"/>
        <v>50000</v>
      </c>
      <c r="L185" s="65">
        <f t="shared" si="26"/>
        <v>0</v>
      </c>
      <c r="M185" s="155">
        <f>55780.35+J185</f>
        <v>55780.35</v>
      </c>
      <c r="N185" s="82">
        <v>200000</v>
      </c>
      <c r="O185" s="83">
        <f t="shared" si="27"/>
        <v>27.890174999999999</v>
      </c>
      <c r="P185" s="59"/>
      <c r="Q185" s="151"/>
      <c r="R185" s="55"/>
      <c r="S185" s="55"/>
    </row>
    <row r="186" spans="1:19" ht="20.100000000000001" customHeight="1" x14ac:dyDescent="0.3">
      <c r="B186" s="109" t="s">
        <v>32</v>
      </c>
      <c r="C186" s="80" t="s">
        <v>262</v>
      </c>
      <c r="D186" s="33"/>
      <c r="E186" s="63">
        <f t="shared" si="22"/>
        <v>2083.3333333333335</v>
      </c>
      <c r="F186" s="143"/>
      <c r="G186" s="63">
        <f t="shared" si="29"/>
        <v>2083.3333333333335</v>
      </c>
      <c r="H186" s="33"/>
      <c r="I186" s="81">
        <f t="shared" si="23"/>
        <v>2083.3333333333335</v>
      </c>
      <c r="J186" s="64">
        <f t="shared" si="28"/>
        <v>0</v>
      </c>
      <c r="K186" s="33">
        <f t="shared" si="25"/>
        <v>6250</v>
      </c>
      <c r="L186" s="65">
        <f t="shared" si="26"/>
        <v>0</v>
      </c>
      <c r="M186" s="155">
        <f t="shared" ref="M186:M191" si="30">0+J186</f>
        <v>0</v>
      </c>
      <c r="N186" s="82">
        <v>25000</v>
      </c>
      <c r="O186" s="83">
        <f t="shared" si="27"/>
        <v>0</v>
      </c>
      <c r="P186" s="59"/>
      <c r="Q186" s="151"/>
      <c r="R186" s="55"/>
      <c r="S186" s="55"/>
    </row>
    <row r="187" spans="1:19" ht="20.100000000000001" customHeight="1" x14ac:dyDescent="0.3">
      <c r="A187" s="1">
        <v>29</v>
      </c>
      <c r="B187" s="109" t="s">
        <v>33</v>
      </c>
      <c r="C187" s="80" t="s">
        <v>263</v>
      </c>
      <c r="D187" s="33"/>
      <c r="E187" s="63">
        <f t="shared" si="22"/>
        <v>2500</v>
      </c>
      <c r="F187" s="63"/>
      <c r="G187" s="63">
        <f t="shared" si="29"/>
        <v>2500</v>
      </c>
      <c r="H187" s="33"/>
      <c r="I187" s="81">
        <f t="shared" si="23"/>
        <v>2500</v>
      </c>
      <c r="J187" s="64">
        <f t="shared" si="28"/>
        <v>0</v>
      </c>
      <c r="K187" s="33">
        <f t="shared" si="25"/>
        <v>7500</v>
      </c>
      <c r="L187" s="65">
        <f t="shared" si="26"/>
        <v>0</v>
      </c>
      <c r="M187" s="155">
        <f t="shared" si="30"/>
        <v>0</v>
      </c>
      <c r="N187" s="82">
        <v>30000</v>
      </c>
      <c r="O187" s="83">
        <f t="shared" si="27"/>
        <v>0</v>
      </c>
      <c r="P187" s="59"/>
      <c r="Q187" s="151"/>
      <c r="R187" s="55"/>
      <c r="S187" s="55"/>
    </row>
    <row r="188" spans="1:19" ht="20.100000000000001" customHeight="1" x14ac:dyDescent="0.3">
      <c r="A188" s="1">
        <v>32</v>
      </c>
      <c r="B188" s="109" t="s">
        <v>34</v>
      </c>
      <c r="C188" s="80" t="s">
        <v>213</v>
      </c>
      <c r="D188" s="33"/>
      <c r="E188" s="63">
        <f t="shared" si="22"/>
        <v>4166.666666666667</v>
      </c>
      <c r="F188" s="35"/>
      <c r="G188" s="63">
        <f t="shared" si="29"/>
        <v>4166.666666666667</v>
      </c>
      <c r="H188" s="33"/>
      <c r="I188" s="81">
        <f t="shared" si="23"/>
        <v>4166.666666666667</v>
      </c>
      <c r="J188" s="64">
        <f t="shared" si="28"/>
        <v>0</v>
      </c>
      <c r="K188" s="33">
        <f t="shared" si="25"/>
        <v>12500</v>
      </c>
      <c r="L188" s="65">
        <f t="shared" si="26"/>
        <v>0</v>
      </c>
      <c r="M188" s="155">
        <f t="shared" si="30"/>
        <v>0</v>
      </c>
      <c r="N188" s="82">
        <v>50000</v>
      </c>
      <c r="O188" s="83">
        <f t="shared" si="27"/>
        <v>0</v>
      </c>
      <c r="P188" s="59"/>
      <c r="Q188" s="151"/>
      <c r="R188" s="55"/>
      <c r="S188" s="55"/>
    </row>
    <row r="189" spans="1:19" ht="20.100000000000001" customHeight="1" x14ac:dyDescent="0.3">
      <c r="A189" s="1">
        <v>34</v>
      </c>
      <c r="B189" s="109" t="s">
        <v>35</v>
      </c>
      <c r="C189" s="80" t="s">
        <v>264</v>
      </c>
      <c r="D189" s="33"/>
      <c r="E189" s="63">
        <f t="shared" si="22"/>
        <v>8333.3333333333339</v>
      </c>
      <c r="F189" s="63"/>
      <c r="G189" s="63">
        <f t="shared" si="29"/>
        <v>8333.3333333333339</v>
      </c>
      <c r="H189" s="63"/>
      <c r="I189" s="81">
        <f t="shared" ref="I189:I253" si="31">G189</f>
        <v>8333.3333333333339</v>
      </c>
      <c r="J189" s="64">
        <f t="shared" si="28"/>
        <v>0</v>
      </c>
      <c r="K189" s="33">
        <f t="shared" si="25"/>
        <v>25000</v>
      </c>
      <c r="L189" s="65">
        <f t="shared" si="26"/>
        <v>0</v>
      </c>
      <c r="M189" s="155">
        <f t="shared" si="30"/>
        <v>0</v>
      </c>
      <c r="N189" s="82">
        <v>100000</v>
      </c>
      <c r="O189" s="83">
        <f t="shared" si="27"/>
        <v>0</v>
      </c>
      <c r="P189" s="59"/>
      <c r="Q189" s="151"/>
      <c r="R189" s="55"/>
      <c r="S189" s="55"/>
    </row>
    <row r="190" spans="1:19" ht="20.100000000000001" customHeight="1" x14ac:dyDescent="0.2">
      <c r="B190" s="109" t="s">
        <v>36</v>
      </c>
      <c r="C190" s="80" t="s">
        <v>265</v>
      </c>
      <c r="D190" s="33"/>
      <c r="E190" s="63">
        <f t="shared" si="22"/>
        <v>6666.666666666667</v>
      </c>
      <c r="F190" s="63"/>
      <c r="G190" s="63">
        <f t="shared" si="29"/>
        <v>6666.666666666667</v>
      </c>
      <c r="H190" s="33"/>
      <c r="I190" s="81">
        <f t="shared" si="31"/>
        <v>6666.666666666667</v>
      </c>
      <c r="J190" s="64">
        <f t="shared" si="28"/>
        <v>0</v>
      </c>
      <c r="K190" s="33">
        <f t="shared" si="25"/>
        <v>20000</v>
      </c>
      <c r="L190" s="65">
        <f t="shared" si="26"/>
        <v>0</v>
      </c>
      <c r="M190" s="155">
        <f t="shared" si="30"/>
        <v>0</v>
      </c>
      <c r="N190" s="82">
        <v>80000</v>
      </c>
      <c r="O190" s="83">
        <f t="shared" si="27"/>
        <v>0</v>
      </c>
      <c r="P190" s="59"/>
      <c r="Q190" s="157"/>
      <c r="R190" s="55"/>
      <c r="S190" s="55"/>
    </row>
    <row r="191" spans="1:19" ht="20.100000000000001" customHeight="1" x14ac:dyDescent="0.3">
      <c r="B191" s="109" t="s">
        <v>125</v>
      </c>
      <c r="C191" s="80" t="s">
        <v>266</v>
      </c>
      <c r="D191" s="33"/>
      <c r="E191" s="63">
        <f t="shared" si="22"/>
        <v>5833.333333333333</v>
      </c>
      <c r="F191" s="63"/>
      <c r="G191" s="63">
        <f t="shared" si="29"/>
        <v>5833.333333333333</v>
      </c>
      <c r="H191" s="33"/>
      <c r="I191" s="81">
        <f t="shared" si="31"/>
        <v>5833.333333333333</v>
      </c>
      <c r="J191" s="64">
        <f t="shared" si="28"/>
        <v>0</v>
      </c>
      <c r="K191" s="33">
        <f t="shared" si="25"/>
        <v>17500</v>
      </c>
      <c r="L191" s="65">
        <f t="shared" si="26"/>
        <v>0</v>
      </c>
      <c r="M191" s="155">
        <f t="shared" si="30"/>
        <v>0</v>
      </c>
      <c r="N191" s="82">
        <v>70000</v>
      </c>
      <c r="O191" s="83">
        <f t="shared" si="27"/>
        <v>0</v>
      </c>
      <c r="P191" s="59"/>
      <c r="Q191" s="151"/>
      <c r="R191" s="55"/>
      <c r="S191" s="55"/>
    </row>
    <row r="192" spans="1:19" ht="20.100000000000001" customHeight="1" x14ac:dyDescent="0.3">
      <c r="B192" s="109" t="s">
        <v>37</v>
      </c>
      <c r="C192" s="80" t="s">
        <v>212</v>
      </c>
      <c r="D192" s="33"/>
      <c r="E192" s="63">
        <f t="shared" si="22"/>
        <v>4166.666666666667</v>
      </c>
      <c r="F192" s="63"/>
      <c r="G192" s="63">
        <f t="shared" si="29"/>
        <v>4166.666666666667</v>
      </c>
      <c r="H192" s="33"/>
      <c r="I192" s="81">
        <f t="shared" si="31"/>
        <v>4166.666666666667</v>
      </c>
      <c r="J192" s="64">
        <f t="shared" si="28"/>
        <v>0</v>
      </c>
      <c r="K192" s="33">
        <f t="shared" si="25"/>
        <v>12500</v>
      </c>
      <c r="L192" s="65">
        <f t="shared" si="26"/>
        <v>0</v>
      </c>
      <c r="M192" s="155">
        <f t="shared" ref="M192:M198" si="32">0+J192</f>
        <v>0</v>
      </c>
      <c r="N192" s="82">
        <v>50000</v>
      </c>
      <c r="O192" s="83">
        <f t="shared" si="27"/>
        <v>0</v>
      </c>
      <c r="P192" s="59"/>
      <c r="Q192" s="151"/>
      <c r="R192" s="55"/>
      <c r="S192" s="55"/>
    </row>
    <row r="193" spans="2:19" ht="20.100000000000001" customHeight="1" x14ac:dyDescent="0.3">
      <c r="B193" s="109" t="s">
        <v>126</v>
      </c>
      <c r="C193" s="80" t="s">
        <v>267</v>
      </c>
      <c r="D193" s="33"/>
      <c r="E193" s="63">
        <f t="shared" si="22"/>
        <v>15000</v>
      </c>
      <c r="F193" s="63"/>
      <c r="G193" s="63">
        <f t="shared" si="29"/>
        <v>15000</v>
      </c>
      <c r="H193" s="33"/>
      <c r="I193" s="81">
        <f t="shared" si="31"/>
        <v>15000</v>
      </c>
      <c r="J193" s="64">
        <f t="shared" si="28"/>
        <v>0</v>
      </c>
      <c r="K193" s="33">
        <f t="shared" si="25"/>
        <v>45000</v>
      </c>
      <c r="L193" s="65">
        <f t="shared" si="26"/>
        <v>0</v>
      </c>
      <c r="M193" s="155">
        <f t="shared" si="32"/>
        <v>0</v>
      </c>
      <c r="N193" s="82">
        <v>180000</v>
      </c>
      <c r="O193" s="83">
        <f t="shared" si="27"/>
        <v>0</v>
      </c>
      <c r="P193" s="59"/>
      <c r="Q193" s="151"/>
      <c r="R193" s="55"/>
      <c r="S193" s="55"/>
    </row>
    <row r="194" spans="2:19" ht="20.100000000000001" customHeight="1" x14ac:dyDescent="0.3">
      <c r="B194" s="109" t="s">
        <v>38</v>
      </c>
      <c r="C194" s="80" t="s">
        <v>268</v>
      </c>
      <c r="D194" s="33"/>
      <c r="E194" s="63">
        <f t="shared" si="22"/>
        <v>3333.3333333333335</v>
      </c>
      <c r="F194" s="63"/>
      <c r="G194" s="63">
        <f t="shared" si="29"/>
        <v>3333.3333333333335</v>
      </c>
      <c r="H194" s="33"/>
      <c r="I194" s="81">
        <f t="shared" si="31"/>
        <v>3333.3333333333335</v>
      </c>
      <c r="J194" s="64">
        <f t="shared" si="28"/>
        <v>0</v>
      </c>
      <c r="K194" s="33">
        <f t="shared" si="25"/>
        <v>10000</v>
      </c>
      <c r="L194" s="65">
        <f t="shared" si="26"/>
        <v>0</v>
      </c>
      <c r="M194" s="155">
        <f t="shared" si="32"/>
        <v>0</v>
      </c>
      <c r="N194" s="82">
        <v>40000</v>
      </c>
      <c r="O194" s="83">
        <f t="shared" si="27"/>
        <v>0</v>
      </c>
      <c r="P194" s="59"/>
      <c r="Q194" s="151"/>
      <c r="R194" s="55"/>
      <c r="S194" s="55"/>
    </row>
    <row r="195" spans="2:19" ht="20.100000000000001" customHeight="1" x14ac:dyDescent="0.3">
      <c r="B195" s="109" t="s">
        <v>39</v>
      </c>
      <c r="C195" s="80" t="s">
        <v>269</v>
      </c>
      <c r="D195" s="33"/>
      <c r="E195" s="63">
        <f t="shared" si="22"/>
        <v>125000</v>
      </c>
      <c r="F195" s="63"/>
      <c r="G195" s="63">
        <f t="shared" si="29"/>
        <v>125000</v>
      </c>
      <c r="H195" s="33"/>
      <c r="I195" s="81">
        <f t="shared" si="31"/>
        <v>125000</v>
      </c>
      <c r="J195" s="64">
        <f t="shared" si="28"/>
        <v>0</v>
      </c>
      <c r="K195" s="33">
        <f t="shared" si="25"/>
        <v>375000</v>
      </c>
      <c r="L195" s="65">
        <f t="shared" si="26"/>
        <v>0</v>
      </c>
      <c r="M195" s="155">
        <f t="shared" si="32"/>
        <v>0</v>
      </c>
      <c r="N195" s="82">
        <v>1500000</v>
      </c>
      <c r="O195" s="83">
        <f t="shared" si="27"/>
        <v>0</v>
      </c>
      <c r="P195" s="59"/>
      <c r="Q195" s="151"/>
      <c r="R195" s="55"/>
      <c r="S195" s="55"/>
    </row>
    <row r="196" spans="2:19" ht="20.100000000000001" customHeight="1" x14ac:dyDescent="0.3">
      <c r="B196" s="109" t="s">
        <v>40</v>
      </c>
      <c r="C196" s="80" t="s">
        <v>41</v>
      </c>
      <c r="D196" s="33">
        <v>1235482.3</v>
      </c>
      <c r="E196" s="63">
        <f t="shared" si="22"/>
        <v>1346519.0533333335</v>
      </c>
      <c r="F196" s="63">
        <v>1215108.6499999999</v>
      </c>
      <c r="G196" s="63">
        <f t="shared" si="29"/>
        <v>1346519.0533333335</v>
      </c>
      <c r="H196" s="33">
        <v>1214838.25</v>
      </c>
      <c r="I196" s="81">
        <f t="shared" si="31"/>
        <v>1346519.0533333335</v>
      </c>
      <c r="J196" s="64">
        <f t="shared" si="28"/>
        <v>3665429.2</v>
      </c>
      <c r="K196" s="33">
        <f t="shared" si="25"/>
        <v>4039557.16</v>
      </c>
      <c r="L196" s="65">
        <f t="shared" si="26"/>
        <v>90.738391730047951</v>
      </c>
      <c r="M196" s="155">
        <f>7318273.73+J196</f>
        <v>10983702.93</v>
      </c>
      <c r="N196" s="82">
        <v>16158228.640000001</v>
      </c>
      <c r="O196" s="83">
        <f t="shared" si="27"/>
        <v>67.975909827204916</v>
      </c>
      <c r="P196" s="59"/>
      <c r="Q196" s="151"/>
      <c r="R196" s="55"/>
      <c r="S196" s="55"/>
    </row>
    <row r="197" spans="2:19" ht="20.100000000000001" customHeight="1" x14ac:dyDescent="0.3">
      <c r="B197" s="109" t="s">
        <v>271</v>
      </c>
      <c r="C197" s="80" t="s">
        <v>270</v>
      </c>
      <c r="D197" s="33"/>
      <c r="E197" s="63">
        <f t="shared" si="22"/>
        <v>65000</v>
      </c>
      <c r="F197" s="63"/>
      <c r="G197" s="63">
        <f t="shared" si="29"/>
        <v>65000</v>
      </c>
      <c r="H197" s="33"/>
      <c r="I197" s="81">
        <f t="shared" si="31"/>
        <v>65000</v>
      </c>
      <c r="J197" s="64">
        <f t="shared" si="28"/>
        <v>0</v>
      </c>
      <c r="K197" s="33">
        <f t="shared" si="25"/>
        <v>195000</v>
      </c>
      <c r="L197" s="65">
        <f t="shared" si="26"/>
        <v>0</v>
      </c>
      <c r="M197" s="155">
        <f t="shared" si="32"/>
        <v>0</v>
      </c>
      <c r="N197" s="82">
        <v>780000</v>
      </c>
      <c r="O197" s="83">
        <f t="shared" si="27"/>
        <v>0</v>
      </c>
      <c r="P197" s="59"/>
      <c r="Q197" s="151"/>
      <c r="R197" s="55"/>
      <c r="S197" s="55"/>
    </row>
    <row r="198" spans="2:19" ht="20.100000000000001" customHeight="1" x14ac:dyDescent="0.3">
      <c r="B198" s="109" t="s">
        <v>127</v>
      </c>
      <c r="C198" s="80" t="s">
        <v>414</v>
      </c>
      <c r="D198" s="33"/>
      <c r="E198" s="63">
        <f t="shared" si="22"/>
        <v>291480.04416666663</v>
      </c>
      <c r="F198" s="63"/>
      <c r="G198" s="63">
        <f t="shared" si="29"/>
        <v>291480.04416666663</v>
      </c>
      <c r="H198" s="33"/>
      <c r="I198" s="81">
        <f t="shared" si="31"/>
        <v>291480.04416666663</v>
      </c>
      <c r="J198" s="64">
        <f t="shared" si="28"/>
        <v>0</v>
      </c>
      <c r="K198" s="33">
        <f t="shared" si="25"/>
        <v>874440.13249999983</v>
      </c>
      <c r="L198" s="65">
        <f t="shared" si="26"/>
        <v>0</v>
      </c>
      <c r="M198" s="155">
        <f t="shared" si="32"/>
        <v>0</v>
      </c>
      <c r="N198" s="82">
        <v>3497760.53</v>
      </c>
      <c r="O198" s="83">
        <f t="shared" si="27"/>
        <v>0</v>
      </c>
      <c r="P198" s="59"/>
      <c r="Q198" s="151"/>
      <c r="R198" s="55"/>
      <c r="S198" s="55"/>
    </row>
    <row r="199" spans="2:19" ht="20.100000000000001" customHeight="1" x14ac:dyDescent="0.3">
      <c r="B199" s="109" t="s">
        <v>42</v>
      </c>
      <c r="C199" s="80" t="s">
        <v>427</v>
      </c>
      <c r="D199" s="33"/>
      <c r="E199" s="63">
        <f t="shared" si="22"/>
        <v>42500</v>
      </c>
      <c r="F199" s="63">
        <v>241728.31</v>
      </c>
      <c r="G199" s="63">
        <f t="shared" si="29"/>
        <v>42500</v>
      </c>
      <c r="H199" s="33"/>
      <c r="I199" s="81">
        <f t="shared" si="31"/>
        <v>42500</v>
      </c>
      <c r="J199" s="64">
        <f t="shared" si="28"/>
        <v>241728.31</v>
      </c>
      <c r="K199" s="33">
        <f t="shared" si="25"/>
        <v>127500</v>
      </c>
      <c r="L199" s="65">
        <f t="shared" si="26"/>
        <v>189.59083137254902</v>
      </c>
      <c r="M199" s="155">
        <f>247499.52+J199</f>
        <v>489227.82999999996</v>
      </c>
      <c r="N199" s="82">
        <v>510000</v>
      </c>
      <c r="O199" s="83">
        <f t="shared" si="27"/>
        <v>95.927025490196073</v>
      </c>
      <c r="P199" s="59"/>
      <c r="Q199" s="151"/>
      <c r="R199" s="55"/>
      <c r="S199" s="55"/>
    </row>
    <row r="200" spans="2:19" ht="20.100000000000001" customHeight="1" x14ac:dyDescent="0.3">
      <c r="B200" s="109" t="s">
        <v>43</v>
      </c>
      <c r="C200" s="80" t="s">
        <v>415</v>
      </c>
      <c r="D200" s="33"/>
      <c r="E200" s="63">
        <f t="shared" si="22"/>
        <v>120000</v>
      </c>
      <c r="F200" s="63">
        <v>100652.47</v>
      </c>
      <c r="G200" s="63">
        <f t="shared" si="29"/>
        <v>120000</v>
      </c>
      <c r="H200" s="33"/>
      <c r="I200" s="81">
        <f t="shared" si="31"/>
        <v>120000</v>
      </c>
      <c r="J200" s="64">
        <f t="shared" si="28"/>
        <v>100652.47</v>
      </c>
      <c r="K200" s="33">
        <f t="shared" si="25"/>
        <v>360000</v>
      </c>
      <c r="L200" s="65">
        <f t="shared" si="26"/>
        <v>27.959019444444444</v>
      </c>
      <c r="M200" s="155">
        <f>704053.56+J200</f>
        <v>804706.03</v>
      </c>
      <c r="N200" s="82">
        <v>1440000</v>
      </c>
      <c r="O200" s="83">
        <f t="shared" si="27"/>
        <v>55.882363194444451</v>
      </c>
      <c r="P200" s="59"/>
      <c r="Q200" s="151"/>
      <c r="R200" s="55"/>
      <c r="S200" s="55"/>
    </row>
    <row r="201" spans="2:19" ht="20.100000000000001" customHeight="1" x14ac:dyDescent="0.3">
      <c r="B201" s="109" t="s">
        <v>44</v>
      </c>
      <c r="C201" s="80" t="s">
        <v>416</v>
      </c>
      <c r="D201" s="33">
        <v>147385.93</v>
      </c>
      <c r="E201" s="63">
        <f t="shared" si="22"/>
        <v>90833.333333333328</v>
      </c>
      <c r="F201" s="63">
        <v>212099.54</v>
      </c>
      <c r="G201" s="63">
        <f t="shared" si="29"/>
        <v>90833.333333333328</v>
      </c>
      <c r="H201" s="33">
        <v>70645.48</v>
      </c>
      <c r="I201" s="81">
        <f t="shared" si="31"/>
        <v>90833.333333333328</v>
      </c>
      <c r="J201" s="64">
        <f t="shared" si="28"/>
        <v>430130.94999999995</v>
      </c>
      <c r="K201" s="33">
        <f t="shared" si="25"/>
        <v>272500</v>
      </c>
      <c r="L201" s="65">
        <f t="shared" si="26"/>
        <v>157.84622018348622</v>
      </c>
      <c r="M201" s="155">
        <f>539549.97+J201</f>
        <v>969680.91999999993</v>
      </c>
      <c r="N201" s="82">
        <v>1090000</v>
      </c>
      <c r="O201" s="83">
        <f t="shared" si="27"/>
        <v>88.961552293577967</v>
      </c>
      <c r="P201" s="59"/>
      <c r="Q201" s="151"/>
      <c r="R201" s="55"/>
      <c r="S201" s="55"/>
    </row>
    <row r="202" spans="2:19" ht="20.100000000000001" customHeight="1" x14ac:dyDescent="0.3">
      <c r="B202" s="109" t="s">
        <v>152</v>
      </c>
      <c r="C202" s="80" t="s">
        <v>417</v>
      </c>
      <c r="D202" s="33">
        <v>230350.45</v>
      </c>
      <c r="E202" s="63">
        <f t="shared" si="22"/>
        <v>113368.23083333333</v>
      </c>
      <c r="F202" s="63"/>
      <c r="G202" s="63">
        <f t="shared" si="29"/>
        <v>113368.23083333333</v>
      </c>
      <c r="H202" s="33"/>
      <c r="I202" s="81">
        <f t="shared" si="31"/>
        <v>113368.23083333333</v>
      </c>
      <c r="J202" s="64">
        <f t="shared" si="28"/>
        <v>230350.45</v>
      </c>
      <c r="K202" s="33">
        <f t="shared" si="25"/>
        <v>340104.6925</v>
      </c>
      <c r="L202" s="65">
        <f t="shared" si="26"/>
        <v>67.72927721366267</v>
      </c>
      <c r="M202" s="155">
        <f>1130068.32+J202</f>
        <v>1360418.77</v>
      </c>
      <c r="N202" s="82">
        <v>1360418.77</v>
      </c>
      <c r="O202" s="83">
        <f t="shared" si="27"/>
        <v>100</v>
      </c>
      <c r="P202" s="59"/>
      <c r="Q202" s="151"/>
      <c r="R202" s="55"/>
      <c r="S202" s="55"/>
    </row>
    <row r="203" spans="2:19" ht="20.100000000000001" customHeight="1" x14ac:dyDescent="0.3">
      <c r="B203" s="109" t="s">
        <v>153</v>
      </c>
      <c r="C203" s="80" t="s">
        <v>335</v>
      </c>
      <c r="D203" s="33"/>
      <c r="E203" s="63">
        <f t="shared" si="22"/>
        <v>17500</v>
      </c>
      <c r="F203" s="63">
        <v>154795</v>
      </c>
      <c r="G203" s="63">
        <f t="shared" si="29"/>
        <v>17500</v>
      </c>
      <c r="H203" s="33"/>
      <c r="I203" s="81">
        <f t="shared" si="31"/>
        <v>17500</v>
      </c>
      <c r="J203" s="64">
        <f t="shared" si="28"/>
        <v>154795</v>
      </c>
      <c r="K203" s="33">
        <f t="shared" si="25"/>
        <v>52500</v>
      </c>
      <c r="L203" s="65">
        <f t="shared" si="26"/>
        <v>294.84761904761905</v>
      </c>
      <c r="M203" s="155">
        <f t="shared" ref="M203:M208" si="33">0+J203</f>
        <v>154795</v>
      </c>
      <c r="N203" s="82">
        <v>210000</v>
      </c>
      <c r="O203" s="83">
        <f t="shared" si="27"/>
        <v>73.711904761904762</v>
      </c>
      <c r="P203" s="59"/>
      <c r="Q203" s="151"/>
      <c r="R203" s="55"/>
      <c r="S203" s="55"/>
    </row>
    <row r="204" spans="2:19" ht="20.100000000000001" customHeight="1" x14ac:dyDescent="0.3">
      <c r="B204" s="109" t="s">
        <v>154</v>
      </c>
      <c r="C204" s="80" t="s">
        <v>336</v>
      </c>
      <c r="D204" s="33"/>
      <c r="E204" s="63">
        <f t="shared" si="22"/>
        <v>11690.616666666667</v>
      </c>
      <c r="F204" s="63">
        <v>140286.92000000001</v>
      </c>
      <c r="G204" s="63">
        <f t="shared" si="29"/>
        <v>11690.616666666667</v>
      </c>
      <c r="H204" s="33"/>
      <c r="I204" s="81">
        <f t="shared" si="31"/>
        <v>11690.616666666667</v>
      </c>
      <c r="J204" s="64">
        <f t="shared" si="28"/>
        <v>140286.92000000001</v>
      </c>
      <c r="K204" s="33">
        <f t="shared" si="25"/>
        <v>35071.85</v>
      </c>
      <c r="L204" s="65">
        <f t="shared" si="26"/>
        <v>399.9986313810079</v>
      </c>
      <c r="M204" s="155">
        <f t="shared" si="33"/>
        <v>140286.92000000001</v>
      </c>
      <c r="N204" s="82">
        <v>140287.4</v>
      </c>
      <c r="O204" s="83">
        <f t="shared" si="27"/>
        <v>99.999657845251974</v>
      </c>
      <c r="P204" s="59"/>
      <c r="Q204" s="151"/>
      <c r="R204" s="55"/>
      <c r="S204" s="55"/>
    </row>
    <row r="205" spans="2:19" ht="20.100000000000001" customHeight="1" x14ac:dyDescent="0.3">
      <c r="B205" s="109" t="s">
        <v>155</v>
      </c>
      <c r="C205" s="80" t="s">
        <v>418</v>
      </c>
      <c r="D205" s="33"/>
      <c r="E205" s="63">
        <f t="shared" si="22"/>
        <v>50833.333333333336</v>
      </c>
      <c r="F205" s="63"/>
      <c r="G205" s="63">
        <f t="shared" si="29"/>
        <v>50833.333333333336</v>
      </c>
      <c r="H205" s="33"/>
      <c r="I205" s="81">
        <f t="shared" si="31"/>
        <v>50833.333333333336</v>
      </c>
      <c r="J205" s="64">
        <f t="shared" si="28"/>
        <v>0</v>
      </c>
      <c r="K205" s="33">
        <f t="shared" si="25"/>
        <v>152500</v>
      </c>
      <c r="L205" s="65">
        <f t="shared" si="26"/>
        <v>0</v>
      </c>
      <c r="M205" s="155">
        <f t="shared" si="33"/>
        <v>0</v>
      </c>
      <c r="N205" s="82">
        <v>610000</v>
      </c>
      <c r="O205" s="83">
        <f t="shared" si="27"/>
        <v>0</v>
      </c>
      <c r="P205" s="59"/>
      <c r="Q205" s="151"/>
      <c r="R205" s="55"/>
      <c r="S205" s="55"/>
    </row>
    <row r="206" spans="2:19" ht="20.100000000000001" customHeight="1" x14ac:dyDescent="0.3">
      <c r="B206" s="109" t="s">
        <v>156</v>
      </c>
      <c r="C206" s="80" t="s">
        <v>369</v>
      </c>
      <c r="D206" s="33"/>
      <c r="E206" s="63">
        <f t="shared" si="22"/>
        <v>89583.333333333328</v>
      </c>
      <c r="F206" s="63"/>
      <c r="G206" s="63">
        <f t="shared" si="29"/>
        <v>89583.333333333328</v>
      </c>
      <c r="H206" s="33">
        <v>526627.74</v>
      </c>
      <c r="I206" s="81">
        <f t="shared" si="31"/>
        <v>89583.333333333328</v>
      </c>
      <c r="J206" s="64">
        <f t="shared" si="28"/>
        <v>526627.74</v>
      </c>
      <c r="K206" s="33">
        <f t="shared" si="25"/>
        <v>268750</v>
      </c>
      <c r="L206" s="65">
        <f t="shared" si="26"/>
        <v>195.95450790697674</v>
      </c>
      <c r="M206" s="155">
        <f t="shared" si="33"/>
        <v>526627.74</v>
      </c>
      <c r="N206" s="82">
        <v>1075000</v>
      </c>
      <c r="O206" s="83">
        <f t="shared" si="27"/>
        <v>48.988626976744186</v>
      </c>
      <c r="P206" s="59"/>
      <c r="Q206" s="151"/>
      <c r="R206" s="55"/>
      <c r="S206" s="55"/>
    </row>
    <row r="207" spans="2:19" ht="20.100000000000001" customHeight="1" x14ac:dyDescent="0.3">
      <c r="B207" s="109" t="s">
        <v>157</v>
      </c>
      <c r="C207" s="80" t="s">
        <v>370</v>
      </c>
      <c r="D207" s="33"/>
      <c r="E207" s="63">
        <f t="shared" si="22"/>
        <v>10833.333333333334</v>
      </c>
      <c r="F207" s="63"/>
      <c r="G207" s="63">
        <f t="shared" si="29"/>
        <v>10833.333333333334</v>
      </c>
      <c r="H207" s="33"/>
      <c r="I207" s="81">
        <f t="shared" si="31"/>
        <v>10833.333333333334</v>
      </c>
      <c r="J207" s="64">
        <f t="shared" si="28"/>
        <v>0</v>
      </c>
      <c r="K207" s="33">
        <f t="shared" si="25"/>
        <v>32500</v>
      </c>
      <c r="L207" s="65">
        <f t="shared" si="26"/>
        <v>0</v>
      </c>
      <c r="M207" s="155">
        <f t="shared" si="33"/>
        <v>0</v>
      </c>
      <c r="N207" s="82">
        <v>130000</v>
      </c>
      <c r="O207" s="83">
        <f t="shared" si="27"/>
        <v>0</v>
      </c>
      <c r="P207" s="59"/>
      <c r="Q207" s="151"/>
      <c r="R207" s="55"/>
      <c r="S207" s="55"/>
    </row>
    <row r="208" spans="2:19" ht="20.100000000000001" customHeight="1" x14ac:dyDescent="0.3">
      <c r="B208" s="109" t="s">
        <v>158</v>
      </c>
      <c r="C208" s="80" t="s">
        <v>371</v>
      </c>
      <c r="D208" s="33"/>
      <c r="E208" s="63">
        <f t="shared" si="22"/>
        <v>25000</v>
      </c>
      <c r="F208" s="63"/>
      <c r="G208" s="63">
        <f t="shared" si="29"/>
        <v>25000</v>
      </c>
      <c r="H208" s="33"/>
      <c r="I208" s="81">
        <f t="shared" si="31"/>
        <v>25000</v>
      </c>
      <c r="J208" s="64">
        <f t="shared" si="28"/>
        <v>0</v>
      </c>
      <c r="K208" s="33">
        <f t="shared" si="25"/>
        <v>75000</v>
      </c>
      <c r="L208" s="65">
        <f t="shared" si="26"/>
        <v>0</v>
      </c>
      <c r="M208" s="155">
        <f t="shared" si="33"/>
        <v>0</v>
      </c>
      <c r="N208" s="82">
        <v>300000</v>
      </c>
      <c r="O208" s="83">
        <f t="shared" si="27"/>
        <v>0</v>
      </c>
      <c r="P208" s="59"/>
      <c r="Q208" s="151"/>
      <c r="R208" s="55"/>
      <c r="S208" s="55"/>
    </row>
    <row r="209" spans="2:19" ht="20.100000000000001" customHeight="1" x14ac:dyDescent="0.3">
      <c r="B209" s="109" t="s">
        <v>159</v>
      </c>
      <c r="C209" s="80" t="s">
        <v>419</v>
      </c>
      <c r="D209" s="33"/>
      <c r="E209" s="63">
        <f t="shared" si="22"/>
        <v>7827.7241666666669</v>
      </c>
      <c r="F209" s="63"/>
      <c r="G209" s="63">
        <f t="shared" si="29"/>
        <v>7827.7241666666669</v>
      </c>
      <c r="H209" s="33"/>
      <c r="I209" s="81">
        <f t="shared" si="31"/>
        <v>7827.7241666666669</v>
      </c>
      <c r="J209" s="64">
        <f t="shared" si="28"/>
        <v>0</v>
      </c>
      <c r="K209" s="33">
        <f t="shared" si="25"/>
        <v>23483.172500000001</v>
      </c>
      <c r="L209" s="65">
        <f t="shared" si="26"/>
        <v>0</v>
      </c>
      <c r="M209" s="155">
        <f t="shared" ref="M209:M240" si="34">0+J209</f>
        <v>0</v>
      </c>
      <c r="N209" s="82">
        <v>93932.69</v>
      </c>
      <c r="O209" s="83">
        <f t="shared" si="27"/>
        <v>0</v>
      </c>
      <c r="P209" s="59"/>
      <c r="Q209" s="151"/>
      <c r="R209" s="55"/>
      <c r="S209" s="55"/>
    </row>
    <row r="210" spans="2:19" ht="20.100000000000001" customHeight="1" x14ac:dyDescent="0.3">
      <c r="B210" s="109" t="s">
        <v>349</v>
      </c>
      <c r="C210" s="80" t="s">
        <v>372</v>
      </c>
      <c r="D210" s="33"/>
      <c r="E210" s="63">
        <f t="shared" si="22"/>
        <v>113405.505</v>
      </c>
      <c r="F210" s="63"/>
      <c r="G210" s="63">
        <f t="shared" si="29"/>
        <v>113405.505</v>
      </c>
      <c r="H210" s="33"/>
      <c r="I210" s="81">
        <f t="shared" si="31"/>
        <v>113405.505</v>
      </c>
      <c r="J210" s="64">
        <f t="shared" si="28"/>
        <v>0</v>
      </c>
      <c r="K210" s="33">
        <f t="shared" si="25"/>
        <v>340216.51500000001</v>
      </c>
      <c r="L210" s="65">
        <f t="shared" si="26"/>
        <v>0</v>
      </c>
      <c r="M210" s="155">
        <f t="shared" si="34"/>
        <v>0</v>
      </c>
      <c r="N210" s="82">
        <v>1360866.06</v>
      </c>
      <c r="O210" s="83">
        <f t="shared" si="27"/>
        <v>0</v>
      </c>
      <c r="P210" s="59"/>
      <c r="Q210" s="151"/>
      <c r="R210" s="55"/>
      <c r="S210" s="55"/>
    </row>
    <row r="211" spans="2:19" ht="20.100000000000001" customHeight="1" x14ac:dyDescent="0.3">
      <c r="B211" s="109" t="s">
        <v>350</v>
      </c>
      <c r="C211" s="80" t="s">
        <v>373</v>
      </c>
      <c r="D211" s="33"/>
      <c r="E211" s="63">
        <f t="shared" si="22"/>
        <v>90370.18</v>
      </c>
      <c r="F211" s="63"/>
      <c r="G211" s="63">
        <f t="shared" si="29"/>
        <v>90370.18</v>
      </c>
      <c r="H211" s="33"/>
      <c r="I211" s="81">
        <f t="shared" si="31"/>
        <v>90370.18</v>
      </c>
      <c r="J211" s="64">
        <f t="shared" si="28"/>
        <v>0</v>
      </c>
      <c r="K211" s="33">
        <f t="shared" si="25"/>
        <v>271110.53999999998</v>
      </c>
      <c r="L211" s="65">
        <f t="shared" si="26"/>
        <v>0</v>
      </c>
      <c r="M211" s="155">
        <f t="shared" si="34"/>
        <v>0</v>
      </c>
      <c r="N211" s="82">
        <v>1084442.1599999999</v>
      </c>
      <c r="O211" s="83">
        <f t="shared" si="27"/>
        <v>0</v>
      </c>
      <c r="P211" s="59"/>
      <c r="Q211" s="151"/>
      <c r="R211" s="55"/>
      <c r="S211" s="55"/>
    </row>
    <row r="212" spans="2:19" ht="20.100000000000001" customHeight="1" x14ac:dyDescent="0.3">
      <c r="B212" s="109" t="s">
        <v>351</v>
      </c>
      <c r="C212" s="80" t="s">
        <v>374</v>
      </c>
      <c r="D212" s="33"/>
      <c r="E212" s="63">
        <f t="shared" si="22"/>
        <v>85570.935833333337</v>
      </c>
      <c r="F212" s="63"/>
      <c r="G212" s="63">
        <f t="shared" si="29"/>
        <v>85570.935833333337</v>
      </c>
      <c r="H212" s="33"/>
      <c r="I212" s="81">
        <f t="shared" si="31"/>
        <v>85570.935833333337</v>
      </c>
      <c r="J212" s="64">
        <f t="shared" si="28"/>
        <v>0</v>
      </c>
      <c r="K212" s="33">
        <f t="shared" si="25"/>
        <v>256712.8075</v>
      </c>
      <c r="L212" s="65">
        <f t="shared" si="26"/>
        <v>0</v>
      </c>
      <c r="M212" s="155">
        <f t="shared" si="34"/>
        <v>0</v>
      </c>
      <c r="N212" s="82">
        <v>1026851.23</v>
      </c>
      <c r="O212" s="83">
        <f t="shared" si="27"/>
        <v>0</v>
      </c>
      <c r="P212" s="59"/>
      <c r="Q212" s="151"/>
      <c r="R212" s="55"/>
      <c r="S212" s="55"/>
    </row>
    <row r="213" spans="2:19" ht="20.100000000000001" customHeight="1" x14ac:dyDescent="0.3">
      <c r="B213" s="109" t="s">
        <v>352</v>
      </c>
      <c r="C213" s="80" t="s">
        <v>375</v>
      </c>
      <c r="D213" s="33"/>
      <c r="E213" s="63">
        <f t="shared" si="22"/>
        <v>54166.666666666664</v>
      </c>
      <c r="F213" s="63"/>
      <c r="G213" s="63">
        <f t="shared" si="29"/>
        <v>54166.666666666664</v>
      </c>
      <c r="H213" s="33"/>
      <c r="I213" s="81">
        <f t="shared" si="31"/>
        <v>54166.666666666664</v>
      </c>
      <c r="J213" s="64">
        <f t="shared" si="28"/>
        <v>0</v>
      </c>
      <c r="K213" s="33">
        <f t="shared" si="25"/>
        <v>162500</v>
      </c>
      <c r="L213" s="65">
        <f t="shared" si="26"/>
        <v>0</v>
      </c>
      <c r="M213" s="155">
        <f t="shared" si="34"/>
        <v>0</v>
      </c>
      <c r="N213" s="82">
        <v>650000</v>
      </c>
      <c r="O213" s="83">
        <f t="shared" si="27"/>
        <v>0</v>
      </c>
      <c r="P213" s="59"/>
      <c r="Q213" s="151"/>
      <c r="R213" s="55"/>
      <c r="S213" s="55"/>
    </row>
    <row r="214" spans="2:19" ht="20.100000000000001" customHeight="1" x14ac:dyDescent="0.3">
      <c r="B214" s="109" t="s">
        <v>353</v>
      </c>
      <c r="C214" s="80" t="s">
        <v>376</v>
      </c>
      <c r="D214" s="33"/>
      <c r="E214" s="63">
        <f t="shared" si="22"/>
        <v>88557.761666666658</v>
      </c>
      <c r="F214" s="63"/>
      <c r="G214" s="63">
        <f t="shared" si="29"/>
        <v>88557.761666666658</v>
      </c>
      <c r="H214" s="33"/>
      <c r="I214" s="81">
        <f t="shared" si="31"/>
        <v>88557.761666666658</v>
      </c>
      <c r="J214" s="64">
        <f t="shared" si="28"/>
        <v>0</v>
      </c>
      <c r="K214" s="33">
        <f t="shared" si="25"/>
        <v>265673.28499999997</v>
      </c>
      <c r="L214" s="65">
        <f t="shared" si="26"/>
        <v>0</v>
      </c>
      <c r="M214" s="155">
        <f t="shared" si="34"/>
        <v>0</v>
      </c>
      <c r="N214" s="82">
        <v>1062693.1399999999</v>
      </c>
      <c r="O214" s="83">
        <f t="shared" si="27"/>
        <v>0</v>
      </c>
      <c r="P214" s="59"/>
      <c r="Q214" s="151"/>
      <c r="R214" s="55"/>
      <c r="S214" s="55"/>
    </row>
    <row r="215" spans="2:19" ht="20.100000000000001" customHeight="1" x14ac:dyDescent="0.3">
      <c r="B215" s="109" t="s">
        <v>354</v>
      </c>
      <c r="C215" s="80" t="s">
        <v>377</v>
      </c>
      <c r="D215" s="33"/>
      <c r="E215" s="63">
        <f t="shared" si="22"/>
        <v>55833.333333333336</v>
      </c>
      <c r="F215" s="63"/>
      <c r="G215" s="63">
        <f t="shared" si="29"/>
        <v>55833.333333333336</v>
      </c>
      <c r="H215" s="33"/>
      <c r="I215" s="81">
        <f t="shared" si="31"/>
        <v>55833.333333333336</v>
      </c>
      <c r="J215" s="64">
        <f t="shared" si="28"/>
        <v>0</v>
      </c>
      <c r="K215" s="33">
        <f t="shared" si="25"/>
        <v>167500</v>
      </c>
      <c r="L215" s="65">
        <f t="shared" si="26"/>
        <v>0</v>
      </c>
      <c r="M215" s="155">
        <f t="shared" si="34"/>
        <v>0</v>
      </c>
      <c r="N215" s="82">
        <v>670000</v>
      </c>
      <c r="O215" s="83">
        <f t="shared" si="27"/>
        <v>0</v>
      </c>
      <c r="P215" s="59"/>
      <c r="Q215" s="151"/>
      <c r="R215" s="55"/>
      <c r="S215" s="55"/>
    </row>
    <row r="216" spans="2:19" ht="20.100000000000001" customHeight="1" x14ac:dyDescent="0.3">
      <c r="B216" s="109" t="s">
        <v>355</v>
      </c>
      <c r="C216" s="80" t="s">
        <v>378</v>
      </c>
      <c r="D216" s="33"/>
      <c r="E216" s="63">
        <f t="shared" si="22"/>
        <v>14562.833333333334</v>
      </c>
      <c r="F216" s="63"/>
      <c r="G216" s="63">
        <f t="shared" si="29"/>
        <v>14562.833333333334</v>
      </c>
      <c r="H216" s="33"/>
      <c r="I216" s="81">
        <f t="shared" si="31"/>
        <v>14562.833333333334</v>
      </c>
      <c r="J216" s="64">
        <f t="shared" si="28"/>
        <v>0</v>
      </c>
      <c r="K216" s="33">
        <f t="shared" si="25"/>
        <v>43688.5</v>
      </c>
      <c r="L216" s="65">
        <f t="shared" si="26"/>
        <v>0</v>
      </c>
      <c r="M216" s="155">
        <f t="shared" si="34"/>
        <v>0</v>
      </c>
      <c r="N216" s="82">
        <v>174754</v>
      </c>
      <c r="O216" s="83">
        <f t="shared" si="27"/>
        <v>0</v>
      </c>
      <c r="P216" s="59"/>
      <c r="Q216" s="151"/>
      <c r="R216" s="55"/>
      <c r="S216" s="55"/>
    </row>
    <row r="217" spans="2:19" ht="20.100000000000001" customHeight="1" x14ac:dyDescent="0.3">
      <c r="B217" s="109" t="s">
        <v>356</v>
      </c>
      <c r="C217" s="80" t="s">
        <v>379</v>
      </c>
      <c r="D217" s="33"/>
      <c r="E217" s="63">
        <f t="shared" si="22"/>
        <v>58400</v>
      </c>
      <c r="F217" s="63"/>
      <c r="G217" s="63">
        <f t="shared" si="29"/>
        <v>58400</v>
      </c>
      <c r="H217" s="33"/>
      <c r="I217" s="81">
        <f t="shared" si="31"/>
        <v>58400</v>
      </c>
      <c r="J217" s="64">
        <f t="shared" si="28"/>
        <v>0</v>
      </c>
      <c r="K217" s="33">
        <f t="shared" si="25"/>
        <v>175200</v>
      </c>
      <c r="L217" s="65">
        <f t="shared" si="26"/>
        <v>0</v>
      </c>
      <c r="M217" s="155">
        <f t="shared" si="34"/>
        <v>0</v>
      </c>
      <c r="N217" s="82">
        <v>700800</v>
      </c>
      <c r="O217" s="83">
        <f t="shared" si="27"/>
        <v>0</v>
      </c>
      <c r="P217" s="59"/>
      <c r="Q217" s="151"/>
      <c r="R217" s="55"/>
      <c r="S217" s="55"/>
    </row>
    <row r="218" spans="2:19" ht="20.100000000000001" customHeight="1" x14ac:dyDescent="0.3">
      <c r="B218" s="109" t="s">
        <v>357</v>
      </c>
      <c r="C218" s="80" t="s">
        <v>380</v>
      </c>
      <c r="D218" s="33"/>
      <c r="E218" s="63">
        <f t="shared" si="22"/>
        <v>7500</v>
      </c>
      <c r="F218" s="63"/>
      <c r="G218" s="63">
        <f t="shared" si="29"/>
        <v>7500</v>
      </c>
      <c r="H218" s="33"/>
      <c r="I218" s="81">
        <f t="shared" si="31"/>
        <v>7500</v>
      </c>
      <c r="J218" s="64">
        <f t="shared" si="28"/>
        <v>0</v>
      </c>
      <c r="K218" s="33">
        <f t="shared" si="25"/>
        <v>22500</v>
      </c>
      <c r="L218" s="65">
        <f t="shared" si="26"/>
        <v>0</v>
      </c>
      <c r="M218" s="155">
        <f t="shared" si="34"/>
        <v>0</v>
      </c>
      <c r="N218" s="82">
        <v>90000</v>
      </c>
      <c r="O218" s="83">
        <f t="shared" si="27"/>
        <v>0</v>
      </c>
      <c r="P218" s="59"/>
      <c r="Q218" s="151"/>
      <c r="R218" s="55"/>
      <c r="S218" s="55"/>
    </row>
    <row r="219" spans="2:19" ht="20.100000000000001" customHeight="1" x14ac:dyDescent="0.3">
      <c r="B219" s="109" t="s">
        <v>358</v>
      </c>
      <c r="C219" s="80" t="s">
        <v>381</v>
      </c>
      <c r="D219" s="33"/>
      <c r="E219" s="63">
        <f t="shared" si="22"/>
        <v>4583.333333333333</v>
      </c>
      <c r="F219" s="63"/>
      <c r="G219" s="63">
        <f t="shared" si="29"/>
        <v>4583.333333333333</v>
      </c>
      <c r="H219" s="33"/>
      <c r="I219" s="81">
        <f t="shared" si="31"/>
        <v>4583.333333333333</v>
      </c>
      <c r="J219" s="64">
        <f t="shared" si="28"/>
        <v>0</v>
      </c>
      <c r="K219" s="33">
        <f t="shared" si="25"/>
        <v>13750</v>
      </c>
      <c r="L219" s="65">
        <f t="shared" si="26"/>
        <v>0</v>
      </c>
      <c r="M219" s="155">
        <f t="shared" si="34"/>
        <v>0</v>
      </c>
      <c r="N219" s="82">
        <v>55000</v>
      </c>
      <c r="O219" s="83">
        <f t="shared" si="27"/>
        <v>0</v>
      </c>
      <c r="P219" s="59"/>
      <c r="Q219" s="151"/>
      <c r="R219" s="55"/>
      <c r="S219" s="55"/>
    </row>
    <row r="220" spans="2:19" ht="20.100000000000001" customHeight="1" x14ac:dyDescent="0.3">
      <c r="B220" s="109" t="s">
        <v>359</v>
      </c>
      <c r="C220" s="80" t="s">
        <v>382</v>
      </c>
      <c r="D220" s="33"/>
      <c r="E220" s="63">
        <f t="shared" si="22"/>
        <v>19560.266666666666</v>
      </c>
      <c r="F220" s="63"/>
      <c r="G220" s="63">
        <f t="shared" si="29"/>
        <v>19560.266666666666</v>
      </c>
      <c r="H220" s="33"/>
      <c r="I220" s="81">
        <f t="shared" si="31"/>
        <v>19560.266666666666</v>
      </c>
      <c r="J220" s="64">
        <f t="shared" si="28"/>
        <v>0</v>
      </c>
      <c r="K220" s="33">
        <f t="shared" si="25"/>
        <v>58680.800000000003</v>
      </c>
      <c r="L220" s="65">
        <f t="shared" si="26"/>
        <v>0</v>
      </c>
      <c r="M220" s="155">
        <f t="shared" si="34"/>
        <v>0</v>
      </c>
      <c r="N220" s="82">
        <v>234723.20000000001</v>
      </c>
      <c r="O220" s="83">
        <f t="shared" si="27"/>
        <v>0</v>
      </c>
      <c r="P220" s="59"/>
      <c r="Q220" s="151"/>
      <c r="R220" s="55"/>
      <c r="S220" s="55"/>
    </row>
    <row r="221" spans="2:19" ht="20.100000000000001" customHeight="1" x14ac:dyDescent="0.3">
      <c r="B221" s="109" t="s">
        <v>360</v>
      </c>
      <c r="C221" s="80" t="s">
        <v>383</v>
      </c>
      <c r="D221" s="33"/>
      <c r="E221" s="63">
        <f t="shared" si="22"/>
        <v>25400.057499999999</v>
      </c>
      <c r="F221" s="63"/>
      <c r="G221" s="63">
        <f t="shared" si="29"/>
        <v>25400.057499999999</v>
      </c>
      <c r="H221" s="33"/>
      <c r="I221" s="81">
        <f t="shared" si="31"/>
        <v>25400.057499999999</v>
      </c>
      <c r="J221" s="64">
        <f t="shared" si="28"/>
        <v>0</v>
      </c>
      <c r="K221" s="33">
        <f t="shared" si="25"/>
        <v>76200.172500000001</v>
      </c>
      <c r="L221" s="65">
        <f t="shared" si="26"/>
        <v>0</v>
      </c>
      <c r="M221" s="155">
        <f t="shared" si="34"/>
        <v>0</v>
      </c>
      <c r="N221" s="82">
        <v>304800.69</v>
      </c>
      <c r="O221" s="83">
        <f t="shared" si="27"/>
        <v>0</v>
      </c>
      <c r="P221" s="59"/>
      <c r="Q221" s="151"/>
      <c r="R221" s="55"/>
      <c r="S221" s="55"/>
    </row>
    <row r="222" spans="2:19" ht="20.100000000000001" customHeight="1" x14ac:dyDescent="0.3">
      <c r="B222" s="109" t="s">
        <v>361</v>
      </c>
      <c r="C222" s="80" t="s">
        <v>384</v>
      </c>
      <c r="D222" s="33"/>
      <c r="E222" s="63">
        <f t="shared" si="22"/>
        <v>7170.2166666666672</v>
      </c>
      <c r="F222" s="63"/>
      <c r="G222" s="63">
        <f t="shared" si="29"/>
        <v>7170.2166666666672</v>
      </c>
      <c r="H222" s="33"/>
      <c r="I222" s="81">
        <f t="shared" si="31"/>
        <v>7170.2166666666672</v>
      </c>
      <c r="J222" s="64">
        <f t="shared" si="28"/>
        <v>0</v>
      </c>
      <c r="K222" s="33">
        <f t="shared" si="25"/>
        <v>21510.65</v>
      </c>
      <c r="L222" s="65">
        <f t="shared" si="26"/>
        <v>0</v>
      </c>
      <c r="M222" s="155">
        <f t="shared" si="34"/>
        <v>0</v>
      </c>
      <c r="N222" s="82">
        <v>86042.6</v>
      </c>
      <c r="O222" s="83">
        <f t="shared" si="27"/>
        <v>0</v>
      </c>
      <c r="P222" s="59"/>
      <c r="Q222" s="151"/>
      <c r="R222" s="55"/>
      <c r="S222" s="55"/>
    </row>
    <row r="223" spans="2:19" ht="20.100000000000001" customHeight="1" x14ac:dyDescent="0.3">
      <c r="B223" s="109" t="s">
        <v>362</v>
      </c>
      <c r="C223" s="80" t="s">
        <v>385</v>
      </c>
      <c r="D223" s="33"/>
      <c r="E223" s="63">
        <f t="shared" si="22"/>
        <v>17049.71</v>
      </c>
      <c r="F223" s="63"/>
      <c r="G223" s="63">
        <f t="shared" si="29"/>
        <v>17049.71</v>
      </c>
      <c r="H223" s="33"/>
      <c r="I223" s="81">
        <f t="shared" si="31"/>
        <v>17049.71</v>
      </c>
      <c r="J223" s="64">
        <f t="shared" si="28"/>
        <v>0</v>
      </c>
      <c r="K223" s="33">
        <f t="shared" si="25"/>
        <v>51149.13</v>
      </c>
      <c r="L223" s="65">
        <f t="shared" si="26"/>
        <v>0</v>
      </c>
      <c r="M223" s="155">
        <f t="shared" si="34"/>
        <v>0</v>
      </c>
      <c r="N223" s="82">
        <v>204596.52</v>
      </c>
      <c r="O223" s="83">
        <f t="shared" si="27"/>
        <v>0</v>
      </c>
      <c r="P223" s="59"/>
      <c r="Q223" s="151"/>
      <c r="R223" s="55"/>
      <c r="S223" s="55"/>
    </row>
    <row r="224" spans="2:19" ht="20.100000000000001" customHeight="1" x14ac:dyDescent="0.3">
      <c r="B224" s="109" t="s">
        <v>363</v>
      </c>
      <c r="C224" s="80" t="s">
        <v>386</v>
      </c>
      <c r="D224" s="33"/>
      <c r="E224" s="63">
        <f t="shared" si="22"/>
        <v>79800.176666666666</v>
      </c>
      <c r="F224" s="63"/>
      <c r="G224" s="63">
        <f t="shared" si="29"/>
        <v>79800.176666666666</v>
      </c>
      <c r="H224" s="33"/>
      <c r="I224" s="81">
        <f t="shared" si="31"/>
        <v>79800.176666666666</v>
      </c>
      <c r="J224" s="64">
        <f t="shared" si="28"/>
        <v>0</v>
      </c>
      <c r="K224" s="33">
        <f t="shared" si="25"/>
        <v>239400.53</v>
      </c>
      <c r="L224" s="65">
        <f t="shared" si="26"/>
        <v>0</v>
      </c>
      <c r="M224" s="155">
        <f t="shared" si="34"/>
        <v>0</v>
      </c>
      <c r="N224" s="82">
        <v>957602.12</v>
      </c>
      <c r="O224" s="83">
        <f t="shared" si="27"/>
        <v>0</v>
      </c>
      <c r="P224" s="59"/>
      <c r="Q224" s="151"/>
      <c r="R224" s="55"/>
      <c r="S224" s="55"/>
    </row>
    <row r="225" spans="2:19" ht="20.100000000000001" customHeight="1" x14ac:dyDescent="0.3">
      <c r="B225" s="109" t="s">
        <v>364</v>
      </c>
      <c r="C225" s="80" t="s">
        <v>387</v>
      </c>
      <c r="D225" s="33"/>
      <c r="E225" s="63">
        <f t="shared" si="22"/>
        <v>57833.333333333336</v>
      </c>
      <c r="F225" s="63"/>
      <c r="G225" s="63">
        <f t="shared" si="29"/>
        <v>57833.333333333336</v>
      </c>
      <c r="H225" s="33"/>
      <c r="I225" s="81">
        <f t="shared" si="31"/>
        <v>57833.333333333336</v>
      </c>
      <c r="J225" s="64">
        <f t="shared" si="28"/>
        <v>0</v>
      </c>
      <c r="K225" s="33">
        <f t="shared" si="25"/>
        <v>173500</v>
      </c>
      <c r="L225" s="65">
        <f t="shared" si="26"/>
        <v>0</v>
      </c>
      <c r="M225" s="155">
        <f t="shared" si="34"/>
        <v>0</v>
      </c>
      <c r="N225" s="82">
        <v>694000</v>
      </c>
      <c r="O225" s="83">
        <f t="shared" si="27"/>
        <v>0</v>
      </c>
      <c r="P225" s="59"/>
      <c r="Q225" s="151"/>
      <c r="R225" s="55"/>
      <c r="S225" s="55"/>
    </row>
    <row r="226" spans="2:19" ht="20.100000000000001" customHeight="1" x14ac:dyDescent="0.3">
      <c r="B226" s="109" t="s">
        <v>365</v>
      </c>
      <c r="C226" s="80" t="s">
        <v>388</v>
      </c>
      <c r="D226" s="33"/>
      <c r="E226" s="63">
        <f t="shared" si="22"/>
        <v>15416.666666666666</v>
      </c>
      <c r="F226" s="63"/>
      <c r="G226" s="63">
        <f t="shared" si="29"/>
        <v>15416.666666666666</v>
      </c>
      <c r="H226" s="33"/>
      <c r="I226" s="81">
        <f t="shared" si="31"/>
        <v>15416.666666666666</v>
      </c>
      <c r="J226" s="64">
        <f t="shared" si="28"/>
        <v>0</v>
      </c>
      <c r="K226" s="33">
        <f t="shared" si="25"/>
        <v>46250</v>
      </c>
      <c r="L226" s="65">
        <f t="shared" si="26"/>
        <v>0</v>
      </c>
      <c r="M226" s="155">
        <f t="shared" si="34"/>
        <v>0</v>
      </c>
      <c r="N226" s="82">
        <v>185000</v>
      </c>
      <c r="O226" s="83">
        <f t="shared" si="27"/>
        <v>0</v>
      </c>
      <c r="P226" s="59"/>
      <c r="Q226" s="151"/>
      <c r="R226" s="55"/>
      <c r="S226" s="55"/>
    </row>
    <row r="227" spans="2:19" ht="20.100000000000001" customHeight="1" x14ac:dyDescent="0.3">
      <c r="B227" s="109" t="s">
        <v>366</v>
      </c>
      <c r="C227" s="80" t="s">
        <v>389</v>
      </c>
      <c r="D227" s="33"/>
      <c r="E227" s="63">
        <f t="shared" si="22"/>
        <v>88333.333333333328</v>
      </c>
      <c r="F227" s="63"/>
      <c r="G227" s="63">
        <f t="shared" si="29"/>
        <v>88333.333333333328</v>
      </c>
      <c r="H227" s="33"/>
      <c r="I227" s="81">
        <f t="shared" si="31"/>
        <v>88333.333333333328</v>
      </c>
      <c r="J227" s="64">
        <f t="shared" si="28"/>
        <v>0</v>
      </c>
      <c r="K227" s="33">
        <f t="shared" si="25"/>
        <v>265000</v>
      </c>
      <c r="L227" s="65">
        <f t="shared" si="26"/>
        <v>0</v>
      </c>
      <c r="M227" s="155">
        <f t="shared" si="34"/>
        <v>0</v>
      </c>
      <c r="N227" s="82">
        <v>1060000</v>
      </c>
      <c r="O227" s="83">
        <f t="shared" si="27"/>
        <v>0</v>
      </c>
      <c r="P227" s="59"/>
      <c r="Q227" s="151"/>
      <c r="R227" s="55"/>
      <c r="S227" s="55"/>
    </row>
    <row r="228" spans="2:19" ht="20.100000000000001" customHeight="1" x14ac:dyDescent="0.3">
      <c r="B228" s="109" t="s">
        <v>367</v>
      </c>
      <c r="C228" s="80" t="s">
        <v>390</v>
      </c>
      <c r="D228" s="33"/>
      <c r="E228" s="63">
        <f t="shared" si="22"/>
        <v>88333.333333333328</v>
      </c>
      <c r="F228" s="63"/>
      <c r="G228" s="63">
        <f t="shared" si="29"/>
        <v>88333.333333333328</v>
      </c>
      <c r="H228" s="33"/>
      <c r="I228" s="81">
        <f t="shared" si="31"/>
        <v>88333.333333333328</v>
      </c>
      <c r="J228" s="64">
        <f t="shared" si="28"/>
        <v>0</v>
      </c>
      <c r="K228" s="33">
        <f t="shared" si="25"/>
        <v>265000</v>
      </c>
      <c r="L228" s="65">
        <f t="shared" si="26"/>
        <v>0</v>
      </c>
      <c r="M228" s="155">
        <f t="shared" si="34"/>
        <v>0</v>
      </c>
      <c r="N228" s="82">
        <v>1060000</v>
      </c>
      <c r="O228" s="83">
        <f t="shared" si="27"/>
        <v>0</v>
      </c>
      <c r="P228" s="59"/>
      <c r="Q228" s="151"/>
      <c r="R228" s="55"/>
      <c r="S228" s="55"/>
    </row>
    <row r="229" spans="2:19" ht="20.100000000000001" customHeight="1" x14ac:dyDescent="0.3">
      <c r="B229" s="109" t="s">
        <v>368</v>
      </c>
      <c r="C229" s="80" t="s">
        <v>391</v>
      </c>
      <c r="D229" s="33"/>
      <c r="E229" s="63">
        <f t="shared" si="22"/>
        <v>33333.333333333336</v>
      </c>
      <c r="F229" s="63"/>
      <c r="G229" s="63">
        <f t="shared" si="29"/>
        <v>33333.333333333336</v>
      </c>
      <c r="H229" s="33"/>
      <c r="I229" s="81">
        <f t="shared" si="31"/>
        <v>33333.333333333336</v>
      </c>
      <c r="J229" s="64">
        <f t="shared" si="28"/>
        <v>0</v>
      </c>
      <c r="K229" s="33">
        <f t="shared" si="25"/>
        <v>100000</v>
      </c>
      <c r="L229" s="65">
        <f t="shared" si="26"/>
        <v>0</v>
      </c>
      <c r="M229" s="155">
        <f t="shared" si="34"/>
        <v>0</v>
      </c>
      <c r="N229" s="82">
        <v>400000</v>
      </c>
      <c r="O229" s="83">
        <f t="shared" si="27"/>
        <v>0</v>
      </c>
      <c r="P229" s="59"/>
      <c r="Q229" s="151"/>
      <c r="R229" s="55"/>
      <c r="S229" s="55"/>
    </row>
    <row r="230" spans="2:19" ht="20.100000000000001" customHeight="1" x14ac:dyDescent="0.3">
      <c r="B230" s="109" t="s">
        <v>406</v>
      </c>
      <c r="C230" s="80" t="s">
        <v>420</v>
      </c>
      <c r="D230" s="33"/>
      <c r="E230" s="63">
        <f t="shared" si="22"/>
        <v>129166.66666666667</v>
      </c>
      <c r="F230" s="63"/>
      <c r="G230" s="63">
        <f t="shared" si="29"/>
        <v>129166.66666666667</v>
      </c>
      <c r="H230" s="33"/>
      <c r="I230" s="81">
        <f t="shared" si="31"/>
        <v>129166.66666666667</v>
      </c>
      <c r="J230" s="64">
        <f t="shared" si="28"/>
        <v>0</v>
      </c>
      <c r="K230" s="33">
        <f t="shared" si="25"/>
        <v>387500</v>
      </c>
      <c r="L230" s="65">
        <f t="shared" si="26"/>
        <v>0</v>
      </c>
      <c r="M230" s="155">
        <f t="shared" si="34"/>
        <v>0</v>
      </c>
      <c r="N230" s="82">
        <v>1550000</v>
      </c>
      <c r="O230" s="83">
        <f t="shared" si="27"/>
        <v>0</v>
      </c>
      <c r="P230" s="59"/>
      <c r="Q230" s="151"/>
      <c r="R230" s="55"/>
      <c r="S230" s="55"/>
    </row>
    <row r="231" spans="2:19" ht="20.100000000000001" customHeight="1" x14ac:dyDescent="0.3">
      <c r="B231" s="109" t="s">
        <v>407</v>
      </c>
      <c r="C231" s="80" t="s">
        <v>408</v>
      </c>
      <c r="D231" s="33"/>
      <c r="E231" s="63">
        <f t="shared" si="22"/>
        <v>125000</v>
      </c>
      <c r="F231" s="63"/>
      <c r="G231" s="63">
        <f t="shared" si="29"/>
        <v>125000</v>
      </c>
      <c r="H231" s="33"/>
      <c r="I231" s="81">
        <f t="shared" si="31"/>
        <v>125000</v>
      </c>
      <c r="J231" s="64">
        <f t="shared" si="28"/>
        <v>0</v>
      </c>
      <c r="K231" s="33">
        <f t="shared" si="25"/>
        <v>375000</v>
      </c>
      <c r="L231" s="65">
        <f t="shared" si="26"/>
        <v>0</v>
      </c>
      <c r="M231" s="155">
        <f t="shared" si="34"/>
        <v>0</v>
      </c>
      <c r="N231" s="82">
        <v>1500000</v>
      </c>
      <c r="O231" s="83">
        <f t="shared" si="27"/>
        <v>0</v>
      </c>
      <c r="P231" s="59"/>
      <c r="Q231" s="151"/>
      <c r="R231" s="55"/>
      <c r="S231" s="55"/>
    </row>
    <row r="232" spans="2:19" ht="20.100000000000001" customHeight="1" x14ac:dyDescent="0.3">
      <c r="B232" s="109" t="s">
        <v>409</v>
      </c>
      <c r="C232" s="80" t="s">
        <v>410</v>
      </c>
      <c r="D232" s="33"/>
      <c r="E232" s="63">
        <f t="shared" si="22"/>
        <v>33333.333333333336</v>
      </c>
      <c r="F232" s="63"/>
      <c r="G232" s="63">
        <f t="shared" si="29"/>
        <v>33333.333333333336</v>
      </c>
      <c r="H232" s="33"/>
      <c r="I232" s="81">
        <f t="shared" si="31"/>
        <v>33333.333333333336</v>
      </c>
      <c r="J232" s="64">
        <f t="shared" si="28"/>
        <v>0</v>
      </c>
      <c r="K232" s="33">
        <f t="shared" si="25"/>
        <v>100000</v>
      </c>
      <c r="L232" s="65">
        <f t="shared" si="26"/>
        <v>0</v>
      </c>
      <c r="M232" s="155">
        <f t="shared" si="34"/>
        <v>0</v>
      </c>
      <c r="N232" s="82">
        <v>400000</v>
      </c>
      <c r="O232" s="83">
        <f t="shared" si="27"/>
        <v>0</v>
      </c>
      <c r="P232" s="59"/>
      <c r="Q232" s="151"/>
      <c r="R232" s="55"/>
      <c r="S232" s="55"/>
    </row>
    <row r="233" spans="2:19" ht="20.100000000000001" customHeight="1" x14ac:dyDescent="0.3">
      <c r="B233" s="109" t="s">
        <v>412</v>
      </c>
      <c r="C233" s="80" t="s">
        <v>411</v>
      </c>
      <c r="D233" s="33"/>
      <c r="E233" s="63">
        <f t="shared" si="22"/>
        <v>15416.666666666666</v>
      </c>
      <c r="F233" s="63"/>
      <c r="G233" s="63">
        <f t="shared" si="29"/>
        <v>15416.666666666666</v>
      </c>
      <c r="H233" s="33"/>
      <c r="I233" s="81">
        <f t="shared" si="31"/>
        <v>15416.666666666666</v>
      </c>
      <c r="J233" s="64">
        <f t="shared" si="28"/>
        <v>0</v>
      </c>
      <c r="K233" s="33">
        <f t="shared" si="25"/>
        <v>46250</v>
      </c>
      <c r="L233" s="65">
        <f t="shared" si="26"/>
        <v>0</v>
      </c>
      <c r="M233" s="155">
        <f t="shared" si="34"/>
        <v>0</v>
      </c>
      <c r="N233" s="82">
        <v>185000</v>
      </c>
      <c r="O233" s="83">
        <f t="shared" si="27"/>
        <v>0</v>
      </c>
      <c r="P233" s="59"/>
      <c r="Q233" s="151"/>
      <c r="R233" s="55"/>
      <c r="S233" s="55"/>
    </row>
    <row r="234" spans="2:19" ht="20.100000000000001" customHeight="1" x14ac:dyDescent="0.3">
      <c r="B234" s="109" t="s">
        <v>45</v>
      </c>
      <c r="C234" s="80" t="s">
        <v>215</v>
      </c>
      <c r="D234" s="33">
        <v>124809.82</v>
      </c>
      <c r="E234" s="63">
        <f t="shared" si="22"/>
        <v>24858.842499999999</v>
      </c>
      <c r="F234" s="63"/>
      <c r="G234" s="63">
        <f t="shared" si="29"/>
        <v>24858.842499999999</v>
      </c>
      <c r="H234" s="33"/>
      <c r="I234" s="81">
        <f t="shared" si="31"/>
        <v>24858.842499999999</v>
      </c>
      <c r="J234" s="64">
        <f t="shared" si="28"/>
        <v>124809.82</v>
      </c>
      <c r="K234" s="33">
        <f t="shared" si="25"/>
        <v>74576.527499999997</v>
      </c>
      <c r="L234" s="65">
        <f t="shared" si="26"/>
        <v>167.35804707453028</v>
      </c>
      <c r="M234" s="155">
        <f t="shared" si="34"/>
        <v>124809.82</v>
      </c>
      <c r="N234" s="82">
        <v>298306.11</v>
      </c>
      <c r="O234" s="83">
        <f t="shared" si="27"/>
        <v>41.839511768632569</v>
      </c>
      <c r="P234" s="59"/>
      <c r="Q234" s="151"/>
      <c r="R234" s="55"/>
      <c r="S234" s="55"/>
    </row>
    <row r="235" spans="2:19" ht="20.100000000000001" customHeight="1" x14ac:dyDescent="0.3">
      <c r="B235" s="109" t="s">
        <v>160</v>
      </c>
      <c r="C235" s="80" t="s">
        <v>225</v>
      </c>
      <c r="D235" s="33">
        <v>7600</v>
      </c>
      <c r="E235" s="63">
        <f t="shared" si="22"/>
        <v>3750</v>
      </c>
      <c r="F235" s="63">
        <v>3000</v>
      </c>
      <c r="G235" s="63">
        <f t="shared" si="29"/>
        <v>3750</v>
      </c>
      <c r="H235" s="33">
        <v>6000</v>
      </c>
      <c r="I235" s="81">
        <f t="shared" si="31"/>
        <v>3750</v>
      </c>
      <c r="J235" s="64">
        <f t="shared" si="28"/>
        <v>16600</v>
      </c>
      <c r="K235" s="33">
        <f t="shared" si="25"/>
        <v>11250</v>
      </c>
      <c r="L235" s="65">
        <f t="shared" si="26"/>
        <v>147.55555555555554</v>
      </c>
      <c r="M235" s="155">
        <f>20800+J235</f>
        <v>37400</v>
      </c>
      <c r="N235" s="82">
        <v>45000</v>
      </c>
      <c r="O235" s="83">
        <f t="shared" si="27"/>
        <v>83.111111111111114</v>
      </c>
      <c r="P235" s="59"/>
      <c r="Q235" s="151"/>
      <c r="R235" s="55"/>
      <c r="S235" s="55"/>
    </row>
    <row r="236" spans="2:19" ht="20.100000000000001" customHeight="1" x14ac:dyDescent="0.3">
      <c r="B236" s="109" t="s">
        <v>128</v>
      </c>
      <c r="C236" s="80" t="s">
        <v>272</v>
      </c>
      <c r="D236" s="33"/>
      <c r="E236" s="63">
        <f t="shared" si="22"/>
        <v>8333.3333333333339</v>
      </c>
      <c r="F236" s="63"/>
      <c r="G236" s="63">
        <f t="shared" si="29"/>
        <v>8333.3333333333339</v>
      </c>
      <c r="H236" s="33"/>
      <c r="I236" s="81">
        <f t="shared" si="31"/>
        <v>8333.3333333333339</v>
      </c>
      <c r="J236" s="64">
        <f t="shared" si="28"/>
        <v>0</v>
      </c>
      <c r="K236" s="33">
        <f t="shared" si="25"/>
        <v>25000</v>
      </c>
      <c r="L236" s="65"/>
      <c r="M236" s="155">
        <f t="shared" si="34"/>
        <v>0</v>
      </c>
      <c r="N236" s="82">
        <v>100000</v>
      </c>
      <c r="O236" s="83">
        <f t="shared" si="27"/>
        <v>0</v>
      </c>
      <c r="P236" s="59"/>
      <c r="Q236" s="151"/>
      <c r="R236" s="55"/>
      <c r="S236" s="55"/>
    </row>
    <row r="237" spans="2:19" ht="20.100000000000001" customHeight="1" x14ac:dyDescent="0.3">
      <c r="B237" s="109" t="s">
        <v>129</v>
      </c>
      <c r="C237" s="80" t="s">
        <v>216</v>
      </c>
      <c r="D237" s="33">
        <v>19889</v>
      </c>
      <c r="E237" s="63">
        <f t="shared" si="22"/>
        <v>11321.75</v>
      </c>
      <c r="F237" s="63">
        <v>20000</v>
      </c>
      <c r="G237" s="63">
        <f t="shared" si="29"/>
        <v>11321.75</v>
      </c>
      <c r="H237" s="33">
        <v>2110.5</v>
      </c>
      <c r="I237" s="81">
        <f t="shared" si="31"/>
        <v>11321.75</v>
      </c>
      <c r="J237" s="64">
        <f t="shared" si="28"/>
        <v>41999.5</v>
      </c>
      <c r="K237" s="33">
        <f t="shared" si="25"/>
        <v>33965.25</v>
      </c>
      <c r="L237" s="65"/>
      <c r="M237" s="155">
        <f>40971.38+J237</f>
        <v>82970.880000000005</v>
      </c>
      <c r="N237" s="82">
        <v>135861</v>
      </c>
      <c r="O237" s="83">
        <f t="shared" si="27"/>
        <v>61.070417559122937</v>
      </c>
      <c r="P237" s="59"/>
      <c r="Q237" s="151"/>
      <c r="R237" s="55"/>
      <c r="S237" s="55"/>
    </row>
    <row r="238" spans="2:19" ht="20.100000000000001" customHeight="1" x14ac:dyDescent="0.3">
      <c r="B238" s="109" t="s">
        <v>161</v>
      </c>
      <c r="C238" s="80" t="s">
        <v>217</v>
      </c>
      <c r="D238" s="33"/>
      <c r="E238" s="63">
        <f t="shared" si="22"/>
        <v>1830.05</v>
      </c>
      <c r="F238" s="63"/>
      <c r="G238" s="63">
        <f t="shared" si="29"/>
        <v>1830.05</v>
      </c>
      <c r="H238" s="33"/>
      <c r="I238" s="81">
        <f t="shared" si="31"/>
        <v>1830.05</v>
      </c>
      <c r="J238" s="64">
        <f t="shared" si="28"/>
        <v>0</v>
      </c>
      <c r="K238" s="33">
        <f t="shared" si="25"/>
        <v>5490.15</v>
      </c>
      <c r="L238" s="65"/>
      <c r="M238" s="155">
        <f>21960.6+J238</f>
        <v>21960.6</v>
      </c>
      <c r="N238" s="82">
        <v>21960.6</v>
      </c>
      <c r="O238" s="83">
        <f t="shared" si="27"/>
        <v>100</v>
      </c>
      <c r="P238" s="59"/>
      <c r="Q238" s="151"/>
      <c r="R238" s="55"/>
      <c r="S238" s="55"/>
    </row>
    <row r="239" spans="2:19" ht="20.100000000000001" customHeight="1" x14ac:dyDescent="0.3">
      <c r="B239" s="109" t="s">
        <v>162</v>
      </c>
      <c r="C239" s="80" t="s">
        <v>218</v>
      </c>
      <c r="D239" s="33">
        <v>185.6</v>
      </c>
      <c r="E239" s="63">
        <f t="shared" si="22"/>
        <v>3583.3333333333335</v>
      </c>
      <c r="F239" s="63">
        <v>469.5</v>
      </c>
      <c r="G239" s="63">
        <f t="shared" si="29"/>
        <v>3583.3333333333335</v>
      </c>
      <c r="H239" s="33">
        <v>943.2</v>
      </c>
      <c r="I239" s="81">
        <f t="shared" si="31"/>
        <v>3583.3333333333335</v>
      </c>
      <c r="J239" s="64">
        <f t="shared" si="28"/>
        <v>1598.3000000000002</v>
      </c>
      <c r="K239" s="33">
        <f t="shared" si="25"/>
        <v>10750</v>
      </c>
      <c r="L239" s="65"/>
      <c r="M239" s="155">
        <f t="shared" si="34"/>
        <v>1598.3000000000002</v>
      </c>
      <c r="N239" s="82">
        <v>43000</v>
      </c>
      <c r="O239" s="83">
        <f t="shared" si="27"/>
        <v>3.7169767441860473</v>
      </c>
      <c r="P239" s="59"/>
      <c r="Q239" s="151"/>
      <c r="R239" s="55"/>
      <c r="S239" s="55"/>
    </row>
    <row r="240" spans="2:19" ht="20.100000000000001" customHeight="1" x14ac:dyDescent="0.3">
      <c r="B240" s="109" t="s">
        <v>219</v>
      </c>
      <c r="C240" s="80" t="s">
        <v>273</v>
      </c>
      <c r="D240" s="33"/>
      <c r="E240" s="63">
        <f t="shared" si="22"/>
        <v>1500</v>
      </c>
      <c r="F240" s="63"/>
      <c r="G240" s="63">
        <f t="shared" si="29"/>
        <v>1500</v>
      </c>
      <c r="H240" s="33"/>
      <c r="I240" s="81">
        <f t="shared" si="31"/>
        <v>1500</v>
      </c>
      <c r="J240" s="64">
        <f t="shared" si="28"/>
        <v>0</v>
      </c>
      <c r="K240" s="33">
        <f t="shared" si="25"/>
        <v>4500</v>
      </c>
      <c r="L240" s="65"/>
      <c r="M240" s="155">
        <f t="shared" si="34"/>
        <v>0</v>
      </c>
      <c r="N240" s="82">
        <v>18000</v>
      </c>
      <c r="O240" s="83">
        <f t="shared" si="27"/>
        <v>0</v>
      </c>
      <c r="P240" s="59"/>
      <c r="Q240" s="151"/>
      <c r="R240" s="55"/>
      <c r="S240" s="55"/>
    </row>
    <row r="241" spans="1:19" ht="20.100000000000001" customHeight="1" x14ac:dyDescent="0.3">
      <c r="B241" s="109" t="s">
        <v>163</v>
      </c>
      <c r="C241" s="80" t="s">
        <v>274</v>
      </c>
      <c r="D241" s="33"/>
      <c r="E241" s="63">
        <f t="shared" si="22"/>
        <v>833.33333333333337</v>
      </c>
      <c r="F241" s="63"/>
      <c r="G241" s="63">
        <f t="shared" si="29"/>
        <v>833.33333333333337</v>
      </c>
      <c r="H241" s="33"/>
      <c r="I241" s="81">
        <f t="shared" si="31"/>
        <v>833.33333333333337</v>
      </c>
      <c r="J241" s="64">
        <f t="shared" si="28"/>
        <v>0</v>
      </c>
      <c r="K241" s="33">
        <f t="shared" si="25"/>
        <v>2500</v>
      </c>
      <c r="L241" s="65">
        <f t="shared" si="26"/>
        <v>0</v>
      </c>
      <c r="M241" s="155">
        <f>7362.15+J241</f>
        <v>7362.15</v>
      </c>
      <c r="N241" s="82">
        <v>10000</v>
      </c>
      <c r="O241" s="83">
        <f t="shared" si="27"/>
        <v>73.621499999999997</v>
      </c>
      <c r="P241" s="59"/>
      <c r="Q241" s="151"/>
      <c r="R241" s="55"/>
      <c r="S241" s="55"/>
    </row>
    <row r="242" spans="1:19" ht="20.100000000000001" customHeight="1" x14ac:dyDescent="0.3">
      <c r="B242" s="109" t="s">
        <v>220</v>
      </c>
      <c r="C242" s="80" t="s">
        <v>275</v>
      </c>
      <c r="D242" s="33"/>
      <c r="E242" s="63">
        <f t="shared" si="22"/>
        <v>1333.3333333333333</v>
      </c>
      <c r="F242" s="63"/>
      <c r="G242" s="63">
        <f t="shared" si="29"/>
        <v>1333.3333333333333</v>
      </c>
      <c r="H242" s="33"/>
      <c r="I242" s="81">
        <f t="shared" si="31"/>
        <v>1333.3333333333333</v>
      </c>
      <c r="J242" s="64">
        <f t="shared" si="28"/>
        <v>0</v>
      </c>
      <c r="K242" s="33">
        <f t="shared" si="25"/>
        <v>4000</v>
      </c>
      <c r="L242" s="65">
        <f t="shared" si="26"/>
        <v>0</v>
      </c>
      <c r="M242" s="155">
        <f>0+J242</f>
        <v>0</v>
      </c>
      <c r="N242" s="82">
        <v>16000</v>
      </c>
      <c r="O242" s="83">
        <f t="shared" si="27"/>
        <v>0</v>
      </c>
      <c r="P242" s="59"/>
      <c r="Q242" s="151"/>
      <c r="R242" s="55"/>
      <c r="S242" s="55"/>
    </row>
    <row r="243" spans="1:19" ht="20.100000000000001" customHeight="1" x14ac:dyDescent="0.3">
      <c r="B243" s="109" t="s">
        <v>164</v>
      </c>
      <c r="C243" s="80" t="s">
        <v>276</v>
      </c>
      <c r="D243" s="33"/>
      <c r="E243" s="63">
        <f t="shared" si="22"/>
        <v>250</v>
      </c>
      <c r="F243" s="63"/>
      <c r="G243" s="63">
        <f t="shared" si="29"/>
        <v>250</v>
      </c>
      <c r="H243" s="33"/>
      <c r="I243" s="81">
        <f t="shared" si="31"/>
        <v>250</v>
      </c>
      <c r="J243" s="64">
        <f t="shared" si="28"/>
        <v>0</v>
      </c>
      <c r="K243" s="33">
        <f t="shared" si="25"/>
        <v>750</v>
      </c>
      <c r="L243" s="65">
        <f t="shared" si="26"/>
        <v>0</v>
      </c>
      <c r="M243" s="155">
        <f>0+J243</f>
        <v>0</v>
      </c>
      <c r="N243" s="82">
        <v>3000</v>
      </c>
      <c r="O243" s="83">
        <f t="shared" si="27"/>
        <v>0</v>
      </c>
      <c r="P243" s="59"/>
      <c r="Q243" s="151"/>
      <c r="R243" s="55"/>
      <c r="S243" s="55"/>
    </row>
    <row r="244" spans="1:19" ht="20.100000000000001" customHeight="1" x14ac:dyDescent="0.3">
      <c r="B244" s="109" t="s">
        <v>165</v>
      </c>
      <c r="C244" s="80" t="s">
        <v>277</v>
      </c>
      <c r="D244" s="33">
        <v>11123.5</v>
      </c>
      <c r="E244" s="63">
        <f t="shared" si="22"/>
        <v>10000</v>
      </c>
      <c r="F244" s="63">
        <v>10030.5</v>
      </c>
      <c r="G244" s="63">
        <f t="shared" si="29"/>
        <v>10000</v>
      </c>
      <c r="H244" s="33">
        <v>18833.2</v>
      </c>
      <c r="I244" s="81">
        <f t="shared" si="31"/>
        <v>10000</v>
      </c>
      <c r="J244" s="64">
        <f t="shared" si="28"/>
        <v>39987.199999999997</v>
      </c>
      <c r="K244" s="33">
        <f t="shared" si="25"/>
        <v>30000</v>
      </c>
      <c r="L244" s="65">
        <f t="shared" si="26"/>
        <v>133.29066666666665</v>
      </c>
      <c r="M244" s="155">
        <f>54876.9+J244</f>
        <v>94864.1</v>
      </c>
      <c r="N244" s="82">
        <v>120000</v>
      </c>
      <c r="O244" s="83">
        <f t="shared" si="27"/>
        <v>79.053416666666678</v>
      </c>
      <c r="P244" s="59"/>
      <c r="Q244" s="151"/>
      <c r="R244" s="55"/>
      <c r="S244" s="55"/>
    </row>
    <row r="245" spans="1:19" ht="20.100000000000001" customHeight="1" x14ac:dyDescent="0.3">
      <c r="B245" s="109" t="s">
        <v>166</v>
      </c>
      <c r="C245" s="80" t="s">
        <v>278</v>
      </c>
      <c r="D245" s="33"/>
      <c r="E245" s="63">
        <f t="shared" si="22"/>
        <v>1166.6666666666667</v>
      </c>
      <c r="F245" s="63"/>
      <c r="G245" s="63">
        <f t="shared" si="29"/>
        <v>1166.6666666666667</v>
      </c>
      <c r="H245" s="33"/>
      <c r="I245" s="81">
        <f t="shared" si="31"/>
        <v>1166.6666666666667</v>
      </c>
      <c r="J245" s="64">
        <f t="shared" si="28"/>
        <v>0</v>
      </c>
      <c r="K245" s="33">
        <f t="shared" si="25"/>
        <v>3500</v>
      </c>
      <c r="L245" s="65">
        <f t="shared" si="26"/>
        <v>0</v>
      </c>
      <c r="M245" s="155">
        <f>1200+J245</f>
        <v>1200</v>
      </c>
      <c r="N245" s="82">
        <v>14000</v>
      </c>
      <c r="O245" s="83">
        <f t="shared" si="27"/>
        <v>8.5714285714285712</v>
      </c>
      <c r="P245" s="59"/>
      <c r="Q245" s="151"/>
      <c r="R245" s="55"/>
      <c r="S245" s="55"/>
    </row>
    <row r="246" spans="1:19" ht="20.100000000000001" customHeight="1" x14ac:dyDescent="0.3">
      <c r="B246" s="109" t="s">
        <v>167</v>
      </c>
      <c r="C246" s="80" t="s">
        <v>279</v>
      </c>
      <c r="D246" s="33"/>
      <c r="E246" s="63">
        <f t="shared" si="22"/>
        <v>3500</v>
      </c>
      <c r="F246" s="63"/>
      <c r="G246" s="63">
        <f t="shared" si="29"/>
        <v>3500</v>
      </c>
      <c r="H246" s="33"/>
      <c r="I246" s="81">
        <f t="shared" si="31"/>
        <v>3500</v>
      </c>
      <c r="J246" s="64">
        <f t="shared" si="28"/>
        <v>0</v>
      </c>
      <c r="K246" s="33">
        <f t="shared" si="28"/>
        <v>10500</v>
      </c>
      <c r="L246" s="65">
        <f t="shared" si="26"/>
        <v>0</v>
      </c>
      <c r="M246" s="155">
        <f>18932.83+J246</f>
        <v>18932.830000000002</v>
      </c>
      <c r="N246" s="82">
        <v>42000</v>
      </c>
      <c r="O246" s="83">
        <f t="shared" ref="O246:O305" si="35">M246/N246*100</f>
        <v>45.078166666666668</v>
      </c>
      <c r="P246" s="59"/>
      <c r="Q246" s="151"/>
      <c r="R246" s="55"/>
      <c r="S246" s="55"/>
    </row>
    <row r="247" spans="1:19" ht="20.100000000000001" customHeight="1" x14ac:dyDescent="0.3">
      <c r="B247" s="109" t="s">
        <v>168</v>
      </c>
      <c r="C247" s="80" t="s">
        <v>280</v>
      </c>
      <c r="D247" s="33"/>
      <c r="E247" s="63">
        <f t="shared" si="22"/>
        <v>9416.6666666666661</v>
      </c>
      <c r="F247" s="63"/>
      <c r="G247" s="63">
        <f t="shared" si="29"/>
        <v>9416.6666666666661</v>
      </c>
      <c r="H247" s="33"/>
      <c r="I247" s="81">
        <f t="shared" si="31"/>
        <v>9416.6666666666661</v>
      </c>
      <c r="J247" s="64">
        <f t="shared" si="28"/>
        <v>0</v>
      </c>
      <c r="K247" s="33">
        <f t="shared" si="28"/>
        <v>28250</v>
      </c>
      <c r="L247" s="65">
        <f t="shared" si="26"/>
        <v>0</v>
      </c>
      <c r="M247" s="155">
        <f>0+J247</f>
        <v>0</v>
      </c>
      <c r="N247" s="82">
        <v>113000</v>
      </c>
      <c r="O247" s="83">
        <f t="shared" si="35"/>
        <v>0</v>
      </c>
      <c r="P247" s="59"/>
      <c r="Q247" s="151"/>
      <c r="R247" s="55"/>
      <c r="S247" s="55"/>
    </row>
    <row r="248" spans="1:19" ht="20.100000000000001" customHeight="1" x14ac:dyDescent="0.3">
      <c r="B248" s="109" t="s">
        <v>130</v>
      </c>
      <c r="C248" s="80" t="s">
        <v>281</v>
      </c>
      <c r="D248" s="33"/>
      <c r="E248" s="63">
        <f t="shared" si="22"/>
        <v>10416.666666666666</v>
      </c>
      <c r="F248" s="63"/>
      <c r="G248" s="63">
        <f t="shared" si="29"/>
        <v>10416.666666666666</v>
      </c>
      <c r="H248" s="33"/>
      <c r="I248" s="81">
        <f t="shared" si="31"/>
        <v>10416.666666666666</v>
      </c>
      <c r="J248" s="64">
        <f t="shared" si="28"/>
        <v>0</v>
      </c>
      <c r="K248" s="33">
        <f t="shared" si="28"/>
        <v>31250</v>
      </c>
      <c r="L248" s="65">
        <f t="shared" si="26"/>
        <v>0</v>
      </c>
      <c r="M248" s="155">
        <f>0+J248</f>
        <v>0</v>
      </c>
      <c r="N248" s="82">
        <v>125000</v>
      </c>
      <c r="O248" s="83">
        <f t="shared" si="35"/>
        <v>0</v>
      </c>
      <c r="P248" s="59"/>
      <c r="Q248" s="151"/>
      <c r="R248" s="55"/>
      <c r="S248" s="55"/>
    </row>
    <row r="249" spans="1:19" ht="20.100000000000001" customHeight="1" x14ac:dyDescent="0.3">
      <c r="B249" s="109" t="s">
        <v>131</v>
      </c>
      <c r="C249" s="80" t="s">
        <v>282</v>
      </c>
      <c r="D249" s="33"/>
      <c r="E249" s="63">
        <f t="shared" si="22"/>
        <v>8333.3333333333339</v>
      </c>
      <c r="F249" s="63"/>
      <c r="G249" s="63">
        <f t="shared" si="29"/>
        <v>8333.3333333333339</v>
      </c>
      <c r="H249" s="33"/>
      <c r="I249" s="81">
        <f t="shared" si="31"/>
        <v>8333.3333333333339</v>
      </c>
      <c r="J249" s="64">
        <f t="shared" si="28"/>
        <v>0</v>
      </c>
      <c r="K249" s="33">
        <f t="shared" si="28"/>
        <v>25000</v>
      </c>
      <c r="L249" s="65">
        <f t="shared" si="26"/>
        <v>0</v>
      </c>
      <c r="M249" s="155">
        <f>0+J249</f>
        <v>0</v>
      </c>
      <c r="N249" s="82">
        <v>100000</v>
      </c>
      <c r="O249" s="83">
        <f t="shared" si="35"/>
        <v>0</v>
      </c>
      <c r="P249" s="59"/>
      <c r="Q249" s="151"/>
      <c r="R249" s="55"/>
      <c r="S249" s="55"/>
    </row>
    <row r="250" spans="1:19" ht="20.100000000000001" customHeight="1" x14ac:dyDescent="0.3">
      <c r="B250" s="109" t="s">
        <v>132</v>
      </c>
      <c r="C250" s="80" t="s">
        <v>283</v>
      </c>
      <c r="D250" s="33"/>
      <c r="E250" s="63">
        <f t="shared" si="22"/>
        <v>20833.333333333332</v>
      </c>
      <c r="F250" s="63">
        <v>39187.69</v>
      </c>
      <c r="G250" s="63">
        <f t="shared" si="29"/>
        <v>20833.333333333332</v>
      </c>
      <c r="H250" s="33">
        <v>2185.44</v>
      </c>
      <c r="I250" s="81">
        <f t="shared" si="31"/>
        <v>20833.333333333332</v>
      </c>
      <c r="J250" s="64">
        <f t="shared" si="28"/>
        <v>41373.130000000005</v>
      </c>
      <c r="K250" s="33">
        <f t="shared" si="28"/>
        <v>62500</v>
      </c>
      <c r="L250" s="65">
        <f t="shared" si="26"/>
        <v>66.197008000000011</v>
      </c>
      <c r="M250" s="155">
        <f>5655+J250</f>
        <v>47028.130000000005</v>
      </c>
      <c r="N250" s="82">
        <v>250000</v>
      </c>
      <c r="O250" s="83">
        <f t="shared" si="35"/>
        <v>18.811252</v>
      </c>
      <c r="P250" s="59"/>
      <c r="Q250" s="151"/>
      <c r="R250" s="55"/>
      <c r="S250" s="55"/>
    </row>
    <row r="251" spans="1:19" ht="20.100000000000001" customHeight="1" x14ac:dyDescent="0.3">
      <c r="B251" s="109" t="s">
        <v>133</v>
      </c>
      <c r="C251" s="80" t="s">
        <v>284</v>
      </c>
      <c r="D251" s="33"/>
      <c r="E251" s="63">
        <f t="shared" si="22"/>
        <v>3333.3333333333335</v>
      </c>
      <c r="F251" s="63"/>
      <c r="G251" s="63">
        <f t="shared" si="29"/>
        <v>3333.3333333333335</v>
      </c>
      <c r="H251" s="33"/>
      <c r="I251" s="81">
        <f t="shared" si="31"/>
        <v>3333.3333333333335</v>
      </c>
      <c r="J251" s="64">
        <f t="shared" si="28"/>
        <v>0</v>
      </c>
      <c r="K251" s="33">
        <f t="shared" si="28"/>
        <v>10000</v>
      </c>
      <c r="L251" s="65">
        <f t="shared" si="26"/>
        <v>0</v>
      </c>
      <c r="M251" s="155">
        <f t="shared" ref="M251:M261" si="36">0+J251</f>
        <v>0</v>
      </c>
      <c r="N251" s="82">
        <v>40000</v>
      </c>
      <c r="O251" s="83">
        <f t="shared" si="35"/>
        <v>0</v>
      </c>
      <c r="P251" s="59"/>
      <c r="Q251" s="151"/>
      <c r="R251" s="55"/>
      <c r="S251" s="55"/>
    </row>
    <row r="252" spans="1:19" ht="20.100000000000001" customHeight="1" x14ac:dyDescent="0.3">
      <c r="B252" s="109" t="s">
        <v>134</v>
      </c>
      <c r="C252" s="80" t="s">
        <v>285</v>
      </c>
      <c r="D252" s="33"/>
      <c r="E252" s="63">
        <f>N252/12</f>
        <v>250</v>
      </c>
      <c r="F252" s="63"/>
      <c r="G252" s="63">
        <f t="shared" si="29"/>
        <v>250</v>
      </c>
      <c r="H252" s="33"/>
      <c r="I252" s="81">
        <f t="shared" si="31"/>
        <v>250</v>
      </c>
      <c r="J252" s="64">
        <f t="shared" si="28"/>
        <v>0</v>
      </c>
      <c r="K252" s="33">
        <f t="shared" si="28"/>
        <v>750</v>
      </c>
      <c r="L252" s="65">
        <f t="shared" si="26"/>
        <v>0</v>
      </c>
      <c r="M252" s="155">
        <f t="shared" si="36"/>
        <v>0</v>
      </c>
      <c r="N252" s="82">
        <v>3000</v>
      </c>
      <c r="O252" s="83">
        <f t="shared" si="35"/>
        <v>0</v>
      </c>
      <c r="P252" s="59"/>
      <c r="Q252" s="151"/>
      <c r="R252" s="55"/>
      <c r="S252" s="55"/>
    </row>
    <row r="253" spans="1:19" ht="20.100000000000001" customHeight="1" x14ac:dyDescent="0.3">
      <c r="B253" s="109" t="s">
        <v>135</v>
      </c>
      <c r="C253" s="80" t="s">
        <v>286</v>
      </c>
      <c r="D253" s="33"/>
      <c r="E253" s="63">
        <f>N253/12</f>
        <v>2916.6666666666665</v>
      </c>
      <c r="F253" s="63"/>
      <c r="G253" s="63">
        <f t="shared" si="29"/>
        <v>2916.6666666666665</v>
      </c>
      <c r="H253" s="33"/>
      <c r="I253" s="81">
        <f t="shared" si="31"/>
        <v>2916.6666666666665</v>
      </c>
      <c r="J253" s="64">
        <f t="shared" si="28"/>
        <v>0</v>
      </c>
      <c r="K253" s="33">
        <f t="shared" si="28"/>
        <v>8750</v>
      </c>
      <c r="L253" s="65">
        <f t="shared" si="26"/>
        <v>0</v>
      </c>
      <c r="M253" s="155">
        <f t="shared" si="36"/>
        <v>0</v>
      </c>
      <c r="N253" s="82">
        <v>35000</v>
      </c>
      <c r="O253" s="83">
        <f t="shared" si="35"/>
        <v>0</v>
      </c>
      <c r="P253" s="59"/>
      <c r="Q253" s="151"/>
      <c r="R253" s="55"/>
      <c r="S253" s="55"/>
    </row>
    <row r="254" spans="1:19" ht="20.100000000000001" customHeight="1" x14ac:dyDescent="0.3">
      <c r="B254" s="109" t="s">
        <v>169</v>
      </c>
      <c r="C254" s="80" t="s">
        <v>287</v>
      </c>
      <c r="D254" s="33"/>
      <c r="E254" s="63">
        <f t="shared" si="22"/>
        <v>250</v>
      </c>
      <c r="F254" s="35"/>
      <c r="G254" s="63">
        <f t="shared" si="29"/>
        <v>250</v>
      </c>
      <c r="H254" s="33"/>
      <c r="I254" s="81">
        <f t="shared" si="23"/>
        <v>250</v>
      </c>
      <c r="J254" s="64">
        <f t="shared" si="28"/>
        <v>0</v>
      </c>
      <c r="K254" s="33">
        <f t="shared" si="28"/>
        <v>750</v>
      </c>
      <c r="L254" s="65">
        <f t="shared" si="26"/>
        <v>0</v>
      </c>
      <c r="M254" s="155">
        <f t="shared" si="36"/>
        <v>0</v>
      </c>
      <c r="N254" s="82">
        <v>3000</v>
      </c>
      <c r="O254" s="83">
        <f t="shared" si="35"/>
        <v>0</v>
      </c>
      <c r="P254" s="59"/>
      <c r="Q254" s="151"/>
      <c r="R254" s="55"/>
      <c r="S254" s="55"/>
    </row>
    <row r="255" spans="1:19" ht="20.100000000000001" customHeight="1" x14ac:dyDescent="0.3">
      <c r="A255" s="1">
        <v>36</v>
      </c>
      <c r="B255" s="108" t="s">
        <v>170</v>
      </c>
      <c r="C255" s="62" t="s">
        <v>288</v>
      </c>
      <c r="D255" s="63"/>
      <c r="E255" s="63">
        <f t="shared" ref="E255:E267" si="37">N255/12</f>
        <v>541.66666666666663</v>
      </c>
      <c r="F255" s="63"/>
      <c r="G255" s="63">
        <f t="shared" ref="G255:G310" si="38">E255</f>
        <v>541.66666666666663</v>
      </c>
      <c r="H255" s="63"/>
      <c r="I255" s="81">
        <f t="shared" ref="I255:I259" si="39">G255</f>
        <v>541.66666666666663</v>
      </c>
      <c r="J255" s="64">
        <f t="shared" ref="J255:K310" si="40">+D255+F255+H255</f>
        <v>0</v>
      </c>
      <c r="K255" s="33">
        <f t="shared" si="40"/>
        <v>1625</v>
      </c>
      <c r="L255" s="65">
        <f t="shared" si="26"/>
        <v>0</v>
      </c>
      <c r="M255" s="155">
        <f t="shared" si="36"/>
        <v>0</v>
      </c>
      <c r="N255" s="82">
        <v>6500</v>
      </c>
      <c r="O255" s="83">
        <f t="shared" si="35"/>
        <v>0</v>
      </c>
      <c r="P255" s="59"/>
      <c r="Q255" s="151"/>
      <c r="R255" s="55"/>
      <c r="S255" s="55"/>
    </row>
    <row r="256" spans="1:19" ht="20.100000000000001" customHeight="1" x14ac:dyDescent="0.3">
      <c r="A256" s="1">
        <v>37</v>
      </c>
      <c r="B256" s="108" t="s">
        <v>171</v>
      </c>
      <c r="C256" s="62" t="s">
        <v>289</v>
      </c>
      <c r="D256" s="63"/>
      <c r="E256" s="63">
        <f t="shared" si="37"/>
        <v>3458.3333333333335</v>
      </c>
      <c r="F256" s="35"/>
      <c r="G256" s="63">
        <f t="shared" si="38"/>
        <v>3458.3333333333335</v>
      </c>
      <c r="H256" s="63"/>
      <c r="I256" s="81">
        <f t="shared" si="39"/>
        <v>3458.3333333333335</v>
      </c>
      <c r="J256" s="64">
        <f t="shared" si="40"/>
        <v>0</v>
      </c>
      <c r="K256" s="33">
        <f t="shared" si="40"/>
        <v>10375</v>
      </c>
      <c r="L256" s="65">
        <f t="shared" ref="L256:L310" si="41">+J256/K256*100</f>
        <v>0</v>
      </c>
      <c r="M256" s="155">
        <f t="shared" si="36"/>
        <v>0</v>
      </c>
      <c r="N256" s="82">
        <v>41500</v>
      </c>
      <c r="O256" s="83">
        <f t="shared" si="35"/>
        <v>0</v>
      </c>
      <c r="P256" s="59"/>
      <c r="Q256" s="151"/>
      <c r="R256" s="55"/>
      <c r="S256" s="55"/>
    </row>
    <row r="257" spans="1:19" ht="20.100000000000001" customHeight="1" x14ac:dyDescent="0.3">
      <c r="A257" s="1">
        <v>38</v>
      </c>
      <c r="B257" s="108" t="s">
        <v>172</v>
      </c>
      <c r="C257" s="62" t="s">
        <v>290</v>
      </c>
      <c r="D257" s="137"/>
      <c r="E257" s="63">
        <f t="shared" si="37"/>
        <v>750</v>
      </c>
      <c r="F257" s="143"/>
      <c r="G257" s="63">
        <f t="shared" si="38"/>
        <v>750</v>
      </c>
      <c r="H257" s="63"/>
      <c r="I257" s="81">
        <f t="shared" si="39"/>
        <v>750</v>
      </c>
      <c r="J257" s="64">
        <f t="shared" si="40"/>
        <v>0</v>
      </c>
      <c r="K257" s="33">
        <f t="shared" si="40"/>
        <v>2250</v>
      </c>
      <c r="L257" s="65">
        <f t="shared" si="41"/>
        <v>0</v>
      </c>
      <c r="M257" s="155">
        <f t="shared" si="36"/>
        <v>0</v>
      </c>
      <c r="N257" s="82">
        <v>9000</v>
      </c>
      <c r="O257" s="83">
        <f t="shared" si="35"/>
        <v>0</v>
      </c>
      <c r="P257" s="59"/>
      <c r="Q257" s="151"/>
      <c r="R257" s="55"/>
      <c r="S257" s="55"/>
    </row>
    <row r="258" spans="1:19" ht="20.100000000000001" customHeight="1" x14ac:dyDescent="0.3">
      <c r="A258" s="1">
        <v>39</v>
      </c>
      <c r="B258" s="108" t="s">
        <v>173</v>
      </c>
      <c r="C258" s="62" t="s">
        <v>291</v>
      </c>
      <c r="D258" s="35"/>
      <c r="E258" s="63">
        <f t="shared" si="37"/>
        <v>500</v>
      </c>
      <c r="F258" s="147"/>
      <c r="G258" s="63">
        <f t="shared" si="38"/>
        <v>500</v>
      </c>
      <c r="H258" s="63"/>
      <c r="I258" s="81">
        <f t="shared" si="39"/>
        <v>500</v>
      </c>
      <c r="J258" s="64">
        <f t="shared" si="40"/>
        <v>0</v>
      </c>
      <c r="K258" s="33">
        <f t="shared" si="40"/>
        <v>1500</v>
      </c>
      <c r="L258" s="65">
        <f t="shared" si="41"/>
        <v>0</v>
      </c>
      <c r="M258" s="155">
        <f t="shared" si="36"/>
        <v>0</v>
      </c>
      <c r="N258" s="82">
        <v>6000</v>
      </c>
      <c r="O258" s="83">
        <f t="shared" si="35"/>
        <v>0</v>
      </c>
      <c r="P258" s="59"/>
      <c r="Q258" s="151"/>
      <c r="R258" s="55"/>
      <c r="S258" s="55"/>
    </row>
    <row r="259" spans="1:19" ht="20.100000000000001" customHeight="1" x14ac:dyDescent="0.3">
      <c r="A259" s="1">
        <v>40</v>
      </c>
      <c r="B259" s="108" t="s">
        <v>174</v>
      </c>
      <c r="C259" s="62" t="s">
        <v>292</v>
      </c>
      <c r="D259" s="138"/>
      <c r="E259" s="63">
        <f t="shared" si="37"/>
        <v>166.66666666666666</v>
      </c>
      <c r="F259" s="143"/>
      <c r="G259" s="63">
        <f t="shared" si="38"/>
        <v>166.66666666666666</v>
      </c>
      <c r="H259" s="63"/>
      <c r="I259" s="81">
        <f t="shared" si="39"/>
        <v>166.66666666666666</v>
      </c>
      <c r="J259" s="64">
        <f t="shared" si="40"/>
        <v>0</v>
      </c>
      <c r="K259" s="33">
        <f t="shared" si="40"/>
        <v>500</v>
      </c>
      <c r="L259" s="65">
        <f t="shared" si="41"/>
        <v>0</v>
      </c>
      <c r="M259" s="155">
        <f t="shared" si="36"/>
        <v>0</v>
      </c>
      <c r="N259" s="82">
        <v>2000</v>
      </c>
      <c r="O259" s="83">
        <f t="shared" si="35"/>
        <v>0</v>
      </c>
      <c r="P259" s="59"/>
      <c r="Q259" s="151"/>
      <c r="R259" s="55"/>
      <c r="S259" s="55"/>
    </row>
    <row r="260" spans="1:19" ht="20.100000000000001" customHeight="1" x14ac:dyDescent="0.3">
      <c r="A260" s="1">
        <v>41</v>
      </c>
      <c r="B260" s="108" t="s">
        <v>175</v>
      </c>
      <c r="C260" s="62" t="s">
        <v>293</v>
      </c>
      <c r="D260" s="139"/>
      <c r="E260" s="63">
        <f t="shared" si="37"/>
        <v>2500</v>
      </c>
      <c r="F260" s="147"/>
      <c r="G260" s="63">
        <f t="shared" si="38"/>
        <v>2500</v>
      </c>
      <c r="H260" s="63"/>
      <c r="I260" s="81">
        <f>G260</f>
        <v>2500</v>
      </c>
      <c r="J260" s="64">
        <f t="shared" si="40"/>
        <v>0</v>
      </c>
      <c r="K260" s="33">
        <f t="shared" si="40"/>
        <v>7500</v>
      </c>
      <c r="L260" s="65">
        <f t="shared" si="41"/>
        <v>0</v>
      </c>
      <c r="M260" s="155">
        <f t="shared" si="36"/>
        <v>0</v>
      </c>
      <c r="N260" s="82">
        <v>30000</v>
      </c>
      <c r="O260" s="83">
        <f t="shared" si="35"/>
        <v>0</v>
      </c>
      <c r="P260" s="59"/>
      <c r="Q260" s="151"/>
      <c r="R260" s="55"/>
      <c r="S260" s="55"/>
    </row>
    <row r="261" spans="1:19" ht="20.100000000000001" customHeight="1" x14ac:dyDescent="0.3">
      <c r="A261" s="1">
        <v>42</v>
      </c>
      <c r="B261" s="108" t="s">
        <v>231</v>
      </c>
      <c r="C261" s="62" t="s">
        <v>294</v>
      </c>
      <c r="D261" s="35"/>
      <c r="E261" s="63">
        <f t="shared" si="37"/>
        <v>2400</v>
      </c>
      <c r="F261" s="143"/>
      <c r="G261" s="63">
        <f t="shared" si="38"/>
        <v>2400</v>
      </c>
      <c r="H261" s="63"/>
      <c r="I261" s="81">
        <f t="shared" ref="I261:I310" si="42">G261</f>
        <v>2400</v>
      </c>
      <c r="J261" s="64">
        <f t="shared" si="40"/>
        <v>0</v>
      </c>
      <c r="K261" s="33">
        <f t="shared" si="40"/>
        <v>7200</v>
      </c>
      <c r="L261" s="65">
        <f t="shared" si="41"/>
        <v>0</v>
      </c>
      <c r="M261" s="155">
        <f t="shared" si="36"/>
        <v>0</v>
      </c>
      <c r="N261" s="82">
        <v>28800</v>
      </c>
      <c r="O261" s="83">
        <f t="shared" si="35"/>
        <v>0</v>
      </c>
      <c r="P261" s="59"/>
      <c r="Q261" s="151"/>
      <c r="R261" s="55"/>
      <c r="S261" s="55"/>
    </row>
    <row r="262" spans="1:19" ht="20.100000000000001" customHeight="1" x14ac:dyDescent="0.3">
      <c r="A262" s="1">
        <v>43</v>
      </c>
      <c r="B262" s="108" t="s">
        <v>176</v>
      </c>
      <c r="C262" s="62" t="s">
        <v>295</v>
      </c>
      <c r="D262" s="63"/>
      <c r="E262" s="63">
        <f t="shared" si="37"/>
        <v>416.66666666666669</v>
      </c>
      <c r="F262" s="63"/>
      <c r="G262" s="63">
        <f t="shared" si="38"/>
        <v>416.66666666666669</v>
      </c>
      <c r="H262" s="63"/>
      <c r="I262" s="81">
        <f t="shared" si="42"/>
        <v>416.66666666666669</v>
      </c>
      <c r="J262" s="64">
        <f t="shared" si="40"/>
        <v>0</v>
      </c>
      <c r="K262" s="33">
        <f t="shared" si="40"/>
        <v>1250</v>
      </c>
      <c r="L262" s="65">
        <f t="shared" si="41"/>
        <v>0</v>
      </c>
      <c r="M262" s="155">
        <f t="shared" ref="M262:M276" si="43">0+J262</f>
        <v>0</v>
      </c>
      <c r="N262" s="82">
        <v>5000</v>
      </c>
      <c r="O262" s="83">
        <f t="shared" si="35"/>
        <v>0</v>
      </c>
      <c r="P262" s="59"/>
      <c r="Q262" s="151"/>
      <c r="R262" s="55"/>
      <c r="S262" s="55"/>
    </row>
    <row r="263" spans="1:19" ht="20.100000000000001" customHeight="1" x14ac:dyDescent="0.3">
      <c r="A263" s="1">
        <v>44</v>
      </c>
      <c r="B263" s="108" t="s">
        <v>177</v>
      </c>
      <c r="C263" s="62" t="s">
        <v>296</v>
      </c>
      <c r="D263" s="35"/>
      <c r="E263" s="63">
        <f t="shared" si="37"/>
        <v>1666.6666666666667</v>
      </c>
      <c r="F263" s="63"/>
      <c r="G263" s="63">
        <f t="shared" si="38"/>
        <v>1666.6666666666667</v>
      </c>
      <c r="H263" s="63"/>
      <c r="I263" s="81">
        <f t="shared" si="42"/>
        <v>1666.6666666666667</v>
      </c>
      <c r="J263" s="64">
        <f t="shared" si="40"/>
        <v>0</v>
      </c>
      <c r="K263" s="33">
        <f t="shared" si="40"/>
        <v>5000</v>
      </c>
      <c r="L263" s="65">
        <f t="shared" si="41"/>
        <v>0</v>
      </c>
      <c r="M263" s="155">
        <f t="shared" si="43"/>
        <v>0</v>
      </c>
      <c r="N263" s="82">
        <v>20000</v>
      </c>
      <c r="O263" s="83">
        <f t="shared" si="35"/>
        <v>0</v>
      </c>
      <c r="P263" s="59"/>
      <c r="Q263" s="151"/>
      <c r="R263" s="55"/>
      <c r="S263" s="55"/>
    </row>
    <row r="264" spans="1:19" ht="20.100000000000001" customHeight="1" x14ac:dyDescent="0.3">
      <c r="A264" s="1">
        <v>45</v>
      </c>
      <c r="B264" s="108" t="s">
        <v>178</v>
      </c>
      <c r="C264" s="62" t="s">
        <v>297</v>
      </c>
      <c r="D264" s="63"/>
      <c r="E264" s="63">
        <f t="shared" si="37"/>
        <v>416.66666666666669</v>
      </c>
      <c r="F264" s="63"/>
      <c r="G264" s="63">
        <f t="shared" si="38"/>
        <v>416.66666666666669</v>
      </c>
      <c r="H264" s="63"/>
      <c r="I264" s="81">
        <f t="shared" si="42"/>
        <v>416.66666666666669</v>
      </c>
      <c r="J264" s="64">
        <f t="shared" si="40"/>
        <v>0</v>
      </c>
      <c r="K264" s="33">
        <f t="shared" si="40"/>
        <v>1250</v>
      </c>
      <c r="L264" s="65">
        <f t="shared" si="41"/>
        <v>0</v>
      </c>
      <c r="M264" s="155">
        <f t="shared" si="43"/>
        <v>0</v>
      </c>
      <c r="N264" s="82">
        <v>5000</v>
      </c>
      <c r="O264" s="83">
        <f t="shared" si="35"/>
        <v>0</v>
      </c>
      <c r="P264" s="59"/>
      <c r="Q264" s="151"/>
      <c r="R264" s="55"/>
      <c r="S264" s="55"/>
    </row>
    <row r="265" spans="1:19" ht="20.100000000000001" customHeight="1" x14ac:dyDescent="0.3">
      <c r="A265" s="1">
        <v>46</v>
      </c>
      <c r="B265" s="108" t="s">
        <v>179</v>
      </c>
      <c r="C265" s="62" t="s">
        <v>298</v>
      </c>
      <c r="D265" s="63"/>
      <c r="E265" s="63">
        <f t="shared" si="37"/>
        <v>1166.6666666666667</v>
      </c>
      <c r="F265" s="63"/>
      <c r="G265" s="63">
        <f t="shared" si="38"/>
        <v>1166.6666666666667</v>
      </c>
      <c r="H265" s="63"/>
      <c r="I265" s="81">
        <f t="shared" si="42"/>
        <v>1166.6666666666667</v>
      </c>
      <c r="J265" s="64">
        <f t="shared" si="40"/>
        <v>0</v>
      </c>
      <c r="K265" s="33">
        <f t="shared" si="40"/>
        <v>3500</v>
      </c>
      <c r="L265" s="65">
        <f t="shared" si="41"/>
        <v>0</v>
      </c>
      <c r="M265" s="155">
        <f t="shared" si="43"/>
        <v>0</v>
      </c>
      <c r="N265" s="82">
        <v>14000</v>
      </c>
      <c r="O265" s="83">
        <f t="shared" si="35"/>
        <v>0</v>
      </c>
      <c r="P265" s="59"/>
      <c r="Q265" s="151"/>
      <c r="R265" s="55"/>
      <c r="S265" s="55"/>
    </row>
    <row r="266" spans="1:19" ht="20.100000000000001" customHeight="1" x14ac:dyDescent="0.3">
      <c r="A266" s="1">
        <v>47</v>
      </c>
      <c r="B266" s="108" t="s">
        <v>180</v>
      </c>
      <c r="C266" s="62" t="s">
        <v>299</v>
      </c>
      <c r="D266" s="63"/>
      <c r="E266" s="63">
        <f t="shared" si="37"/>
        <v>20833.333333333332</v>
      </c>
      <c r="F266" s="63"/>
      <c r="G266" s="63">
        <f t="shared" si="38"/>
        <v>20833.333333333332</v>
      </c>
      <c r="H266" s="63"/>
      <c r="I266" s="81">
        <f t="shared" si="42"/>
        <v>20833.333333333332</v>
      </c>
      <c r="J266" s="64">
        <f t="shared" si="40"/>
        <v>0</v>
      </c>
      <c r="K266" s="33">
        <f t="shared" si="40"/>
        <v>62500</v>
      </c>
      <c r="L266" s="65">
        <f t="shared" si="41"/>
        <v>0</v>
      </c>
      <c r="M266" s="155">
        <f>20300+J266</f>
        <v>20300</v>
      </c>
      <c r="N266" s="82">
        <v>250000</v>
      </c>
      <c r="O266" s="83">
        <f t="shared" si="35"/>
        <v>8.1199999999999992</v>
      </c>
      <c r="P266" s="59"/>
      <c r="Q266" s="151"/>
      <c r="R266" s="55"/>
      <c r="S266" s="55"/>
    </row>
    <row r="267" spans="1:19" ht="20.100000000000001" customHeight="1" x14ac:dyDescent="0.3">
      <c r="A267" s="1">
        <v>48</v>
      </c>
      <c r="B267" s="108" t="s">
        <v>181</v>
      </c>
      <c r="C267" s="62" t="s">
        <v>300</v>
      </c>
      <c r="D267" s="63"/>
      <c r="E267" s="63">
        <f t="shared" si="37"/>
        <v>5833.333333333333</v>
      </c>
      <c r="F267" s="143"/>
      <c r="G267" s="63">
        <f t="shared" si="38"/>
        <v>5833.333333333333</v>
      </c>
      <c r="H267" s="63"/>
      <c r="I267" s="81">
        <f t="shared" si="42"/>
        <v>5833.333333333333</v>
      </c>
      <c r="J267" s="64">
        <f t="shared" si="40"/>
        <v>0</v>
      </c>
      <c r="K267" s="33">
        <f t="shared" si="40"/>
        <v>17500</v>
      </c>
      <c r="L267" s="65">
        <f t="shared" si="41"/>
        <v>0</v>
      </c>
      <c r="M267" s="155">
        <f t="shared" si="43"/>
        <v>0</v>
      </c>
      <c r="N267" s="82">
        <v>70000</v>
      </c>
      <c r="O267" s="83">
        <f t="shared" si="35"/>
        <v>0</v>
      </c>
      <c r="P267" s="59"/>
      <c r="Q267" s="151"/>
      <c r="R267" s="55"/>
      <c r="S267" s="55"/>
    </row>
    <row r="268" spans="1:19" ht="20.100000000000001" customHeight="1" x14ac:dyDescent="0.3">
      <c r="A268" s="1">
        <v>49</v>
      </c>
      <c r="B268" s="108" t="s">
        <v>182</v>
      </c>
      <c r="C268" s="62" t="s">
        <v>301</v>
      </c>
      <c r="D268" s="35"/>
      <c r="E268" s="63">
        <f t="shared" ref="E268:E310" si="44">N268/12</f>
        <v>2916.6666666666665</v>
      </c>
      <c r="F268" s="143"/>
      <c r="G268" s="63">
        <f t="shared" si="38"/>
        <v>2916.6666666666665</v>
      </c>
      <c r="H268" s="63"/>
      <c r="I268" s="81">
        <f t="shared" si="42"/>
        <v>2916.6666666666665</v>
      </c>
      <c r="J268" s="64">
        <f t="shared" si="40"/>
        <v>0</v>
      </c>
      <c r="K268" s="33">
        <f t="shared" si="40"/>
        <v>8750</v>
      </c>
      <c r="L268" s="65">
        <f t="shared" si="41"/>
        <v>0</v>
      </c>
      <c r="M268" s="155">
        <f t="shared" si="43"/>
        <v>0</v>
      </c>
      <c r="N268" s="82">
        <v>35000</v>
      </c>
      <c r="O268" s="83">
        <f t="shared" si="35"/>
        <v>0</v>
      </c>
      <c r="P268" s="59"/>
      <c r="Q268" s="151"/>
      <c r="R268" s="55"/>
      <c r="S268" s="55"/>
    </row>
    <row r="269" spans="1:19" ht="20.100000000000001" customHeight="1" x14ac:dyDescent="0.3">
      <c r="A269" s="1">
        <v>50</v>
      </c>
      <c r="B269" s="109" t="s">
        <v>183</v>
      </c>
      <c r="C269" s="80" t="s">
        <v>302</v>
      </c>
      <c r="D269" s="142"/>
      <c r="E269" s="33">
        <f t="shared" si="44"/>
        <v>2916.6666666666665</v>
      </c>
      <c r="F269" s="35"/>
      <c r="G269" s="33">
        <f t="shared" si="38"/>
        <v>2916.6666666666665</v>
      </c>
      <c r="H269" s="33"/>
      <c r="I269" s="145">
        <f t="shared" si="42"/>
        <v>2916.6666666666665</v>
      </c>
      <c r="J269" s="64">
        <f t="shared" si="40"/>
        <v>0</v>
      </c>
      <c r="K269" s="33">
        <f t="shared" si="40"/>
        <v>8750</v>
      </c>
      <c r="L269" s="65">
        <f t="shared" si="41"/>
        <v>0</v>
      </c>
      <c r="M269" s="155">
        <f t="shared" si="43"/>
        <v>0</v>
      </c>
      <c r="N269" s="82">
        <v>35000</v>
      </c>
      <c r="O269" s="83">
        <f t="shared" si="35"/>
        <v>0</v>
      </c>
      <c r="P269" s="59"/>
      <c r="Q269" s="151"/>
      <c r="R269" s="55"/>
      <c r="S269" s="55"/>
    </row>
    <row r="270" spans="1:19" ht="20.100000000000001" customHeight="1" x14ac:dyDescent="0.3">
      <c r="A270" s="1">
        <v>51</v>
      </c>
      <c r="B270" s="109" t="s">
        <v>184</v>
      </c>
      <c r="C270" s="80" t="s">
        <v>303</v>
      </c>
      <c r="D270" s="143"/>
      <c r="E270" s="33">
        <f t="shared" si="44"/>
        <v>1000</v>
      </c>
      <c r="F270" s="143"/>
      <c r="G270" s="33">
        <f t="shared" si="38"/>
        <v>1000</v>
      </c>
      <c r="H270" s="33"/>
      <c r="I270" s="145">
        <f t="shared" si="42"/>
        <v>1000</v>
      </c>
      <c r="J270" s="64">
        <f t="shared" si="40"/>
        <v>0</v>
      </c>
      <c r="K270" s="33">
        <f t="shared" si="40"/>
        <v>3000</v>
      </c>
      <c r="L270" s="65">
        <f t="shared" si="41"/>
        <v>0</v>
      </c>
      <c r="M270" s="155">
        <f t="shared" si="43"/>
        <v>0</v>
      </c>
      <c r="N270" s="82">
        <v>12000</v>
      </c>
      <c r="O270" s="83">
        <f t="shared" si="35"/>
        <v>0</v>
      </c>
      <c r="P270" s="59"/>
      <c r="Q270" s="151"/>
      <c r="R270" s="55"/>
      <c r="S270" s="55"/>
    </row>
    <row r="271" spans="1:19" ht="20.100000000000001" customHeight="1" x14ac:dyDescent="0.3">
      <c r="A271" s="1">
        <v>52</v>
      </c>
      <c r="B271" s="109" t="s">
        <v>185</v>
      </c>
      <c r="C271" s="80" t="s">
        <v>304</v>
      </c>
      <c r="D271" s="143"/>
      <c r="E271" s="33">
        <f t="shared" si="44"/>
        <v>1666.6666666666667</v>
      </c>
      <c r="F271" s="35"/>
      <c r="G271" s="33">
        <f t="shared" si="38"/>
        <v>1666.6666666666667</v>
      </c>
      <c r="H271" s="33"/>
      <c r="I271" s="145">
        <f t="shared" si="42"/>
        <v>1666.6666666666667</v>
      </c>
      <c r="J271" s="64">
        <f t="shared" si="40"/>
        <v>0</v>
      </c>
      <c r="K271" s="33">
        <f t="shared" si="40"/>
        <v>5000</v>
      </c>
      <c r="L271" s="65">
        <f t="shared" si="41"/>
        <v>0</v>
      </c>
      <c r="M271" s="155">
        <f t="shared" si="43"/>
        <v>0</v>
      </c>
      <c r="N271" s="82">
        <v>20000</v>
      </c>
      <c r="O271" s="83">
        <f t="shared" si="35"/>
        <v>0</v>
      </c>
      <c r="P271" s="59"/>
      <c r="Q271" s="151"/>
      <c r="R271" s="55"/>
      <c r="S271" s="55"/>
    </row>
    <row r="272" spans="1:19" ht="20.100000000000001" customHeight="1" x14ac:dyDescent="0.3">
      <c r="A272" s="1">
        <v>53</v>
      </c>
      <c r="B272" s="109" t="s">
        <v>136</v>
      </c>
      <c r="C272" s="80" t="s">
        <v>305</v>
      </c>
      <c r="D272" s="143"/>
      <c r="E272" s="33">
        <f t="shared" si="44"/>
        <v>4666.666666666667</v>
      </c>
      <c r="F272" s="143"/>
      <c r="G272" s="33">
        <f t="shared" si="38"/>
        <v>4666.666666666667</v>
      </c>
      <c r="H272" s="33"/>
      <c r="I272" s="145">
        <f t="shared" si="42"/>
        <v>4666.666666666667</v>
      </c>
      <c r="J272" s="64">
        <f t="shared" si="40"/>
        <v>0</v>
      </c>
      <c r="K272" s="33">
        <f t="shared" si="40"/>
        <v>14000</v>
      </c>
      <c r="L272" s="65">
        <f t="shared" si="41"/>
        <v>0</v>
      </c>
      <c r="M272" s="155">
        <f t="shared" si="43"/>
        <v>0</v>
      </c>
      <c r="N272" s="82">
        <v>56000</v>
      </c>
      <c r="O272" s="83">
        <f t="shared" si="35"/>
        <v>0</v>
      </c>
      <c r="P272" s="59"/>
      <c r="Q272" s="151"/>
      <c r="R272" s="55"/>
      <c r="S272" s="55"/>
    </row>
    <row r="273" spans="1:19" ht="20.100000000000001" customHeight="1" x14ac:dyDescent="0.3">
      <c r="A273" s="1">
        <v>54</v>
      </c>
      <c r="B273" s="109" t="s">
        <v>137</v>
      </c>
      <c r="C273" s="80" t="s">
        <v>306</v>
      </c>
      <c r="D273" s="143"/>
      <c r="E273" s="33">
        <f t="shared" si="44"/>
        <v>1916.6666666666667</v>
      </c>
      <c r="F273" s="143"/>
      <c r="G273" s="33">
        <f t="shared" si="38"/>
        <v>1916.6666666666667</v>
      </c>
      <c r="H273" s="33"/>
      <c r="I273" s="145">
        <f t="shared" si="42"/>
        <v>1916.6666666666667</v>
      </c>
      <c r="J273" s="64">
        <f t="shared" si="40"/>
        <v>0</v>
      </c>
      <c r="K273" s="33">
        <f t="shared" si="40"/>
        <v>5750</v>
      </c>
      <c r="L273" s="65">
        <f t="shared" si="41"/>
        <v>0</v>
      </c>
      <c r="M273" s="155">
        <f t="shared" si="43"/>
        <v>0</v>
      </c>
      <c r="N273" s="82">
        <v>23000</v>
      </c>
      <c r="O273" s="83">
        <f t="shared" si="35"/>
        <v>0</v>
      </c>
      <c r="P273" s="59"/>
      <c r="Q273" s="151"/>
      <c r="R273" s="55"/>
      <c r="S273" s="55"/>
    </row>
    <row r="274" spans="1:19" ht="20.100000000000001" customHeight="1" x14ac:dyDescent="0.3">
      <c r="A274" s="1">
        <v>55</v>
      </c>
      <c r="B274" s="109" t="s">
        <v>138</v>
      </c>
      <c r="C274" s="80" t="s">
        <v>307</v>
      </c>
      <c r="D274" s="143"/>
      <c r="E274" s="33">
        <f t="shared" si="44"/>
        <v>600</v>
      </c>
      <c r="F274" s="143"/>
      <c r="G274" s="33">
        <f t="shared" si="38"/>
        <v>600</v>
      </c>
      <c r="H274" s="33"/>
      <c r="I274" s="145">
        <f t="shared" si="42"/>
        <v>600</v>
      </c>
      <c r="J274" s="64">
        <f t="shared" si="40"/>
        <v>0</v>
      </c>
      <c r="K274" s="33">
        <f t="shared" si="40"/>
        <v>1800</v>
      </c>
      <c r="L274" s="65">
        <f t="shared" si="41"/>
        <v>0</v>
      </c>
      <c r="M274" s="155">
        <f t="shared" si="43"/>
        <v>0</v>
      </c>
      <c r="N274" s="82">
        <v>7200</v>
      </c>
      <c r="O274" s="83">
        <f t="shared" si="35"/>
        <v>0</v>
      </c>
      <c r="P274" s="59"/>
      <c r="Q274" s="151"/>
      <c r="R274" s="55"/>
      <c r="S274" s="55"/>
    </row>
    <row r="275" spans="1:19" ht="20.100000000000001" customHeight="1" x14ac:dyDescent="0.3">
      <c r="A275" s="1">
        <v>56</v>
      </c>
      <c r="B275" s="109" t="s">
        <v>139</v>
      </c>
      <c r="C275" s="80" t="s">
        <v>308</v>
      </c>
      <c r="D275" s="35"/>
      <c r="E275" s="33">
        <f t="shared" si="44"/>
        <v>416.66666666666669</v>
      </c>
      <c r="F275" s="143"/>
      <c r="G275" s="33">
        <f t="shared" si="38"/>
        <v>416.66666666666669</v>
      </c>
      <c r="H275" s="33"/>
      <c r="I275" s="141">
        <f t="shared" si="42"/>
        <v>416.66666666666669</v>
      </c>
      <c r="J275" s="64">
        <f t="shared" si="40"/>
        <v>0</v>
      </c>
      <c r="K275" s="33">
        <f t="shared" si="40"/>
        <v>1250</v>
      </c>
      <c r="L275" s="65">
        <f t="shared" si="41"/>
        <v>0</v>
      </c>
      <c r="M275" s="155">
        <f t="shared" si="43"/>
        <v>0</v>
      </c>
      <c r="N275" s="82">
        <v>5000</v>
      </c>
      <c r="O275" s="83">
        <f t="shared" si="35"/>
        <v>0</v>
      </c>
      <c r="P275" s="59"/>
      <c r="Q275" s="151"/>
      <c r="R275" s="55"/>
      <c r="S275" s="55"/>
    </row>
    <row r="276" spans="1:19" ht="20.100000000000001" customHeight="1" x14ac:dyDescent="0.3">
      <c r="A276" s="1">
        <v>58</v>
      </c>
      <c r="B276" s="109" t="s">
        <v>140</v>
      </c>
      <c r="C276" s="80" t="s">
        <v>421</v>
      </c>
      <c r="D276" s="143"/>
      <c r="E276" s="33">
        <f t="shared" si="44"/>
        <v>19166.666666666668</v>
      </c>
      <c r="F276" s="143"/>
      <c r="G276" s="33">
        <f t="shared" si="38"/>
        <v>19166.666666666668</v>
      </c>
      <c r="H276" s="33"/>
      <c r="I276" s="145">
        <f t="shared" si="42"/>
        <v>19166.666666666668</v>
      </c>
      <c r="J276" s="64">
        <f t="shared" si="40"/>
        <v>0</v>
      </c>
      <c r="K276" s="33">
        <f t="shared" si="40"/>
        <v>57500</v>
      </c>
      <c r="L276" s="65">
        <f t="shared" si="41"/>
        <v>0</v>
      </c>
      <c r="M276" s="155">
        <f t="shared" si="43"/>
        <v>0</v>
      </c>
      <c r="N276" s="82">
        <v>230000</v>
      </c>
      <c r="O276" s="83">
        <f t="shared" si="35"/>
        <v>0</v>
      </c>
      <c r="P276" s="59"/>
      <c r="Q276" s="151"/>
      <c r="R276" s="55"/>
      <c r="S276" s="55"/>
    </row>
    <row r="277" spans="1:19" ht="20.100000000000001" customHeight="1" x14ac:dyDescent="0.3">
      <c r="A277" s="1">
        <v>59</v>
      </c>
      <c r="B277" s="109" t="s">
        <v>141</v>
      </c>
      <c r="C277" s="80" t="s">
        <v>221</v>
      </c>
      <c r="D277" s="143"/>
      <c r="E277" s="33">
        <f t="shared" si="44"/>
        <v>8333.3333333333339</v>
      </c>
      <c r="F277" s="35"/>
      <c r="G277" s="33">
        <f t="shared" si="38"/>
        <v>8333.3333333333339</v>
      </c>
      <c r="H277" s="33"/>
      <c r="I277" s="141">
        <f t="shared" si="42"/>
        <v>8333.3333333333339</v>
      </c>
      <c r="J277" s="64">
        <f t="shared" si="40"/>
        <v>0</v>
      </c>
      <c r="K277" s="33">
        <f t="shared" si="40"/>
        <v>25000</v>
      </c>
      <c r="L277" s="65">
        <f t="shared" si="41"/>
        <v>0</v>
      </c>
      <c r="M277" s="155">
        <f>0+J277</f>
        <v>0</v>
      </c>
      <c r="N277" s="82">
        <v>100000</v>
      </c>
      <c r="O277" s="83">
        <f t="shared" si="35"/>
        <v>0</v>
      </c>
      <c r="P277" s="59"/>
      <c r="Q277" s="151"/>
      <c r="R277" s="55"/>
      <c r="S277" s="55"/>
    </row>
    <row r="278" spans="1:19" ht="20.100000000000001" customHeight="1" x14ac:dyDescent="0.3">
      <c r="A278" s="1">
        <v>60</v>
      </c>
      <c r="B278" s="109" t="s">
        <v>142</v>
      </c>
      <c r="C278" s="80" t="s">
        <v>309</v>
      </c>
      <c r="D278" s="35"/>
      <c r="E278" s="33">
        <f t="shared" si="44"/>
        <v>1333.3333333333333</v>
      </c>
      <c r="F278" s="143"/>
      <c r="G278" s="33">
        <f t="shared" si="38"/>
        <v>1333.3333333333333</v>
      </c>
      <c r="H278" s="33"/>
      <c r="I278" s="146">
        <f t="shared" si="42"/>
        <v>1333.3333333333333</v>
      </c>
      <c r="J278" s="64">
        <f t="shared" si="40"/>
        <v>0</v>
      </c>
      <c r="K278" s="33">
        <f t="shared" si="40"/>
        <v>4000</v>
      </c>
      <c r="L278" s="65">
        <f t="shared" si="41"/>
        <v>0</v>
      </c>
      <c r="M278" s="155">
        <f t="shared" ref="M278:M288" si="45">0+J278</f>
        <v>0</v>
      </c>
      <c r="N278" s="82">
        <v>16000</v>
      </c>
      <c r="O278" s="83">
        <f t="shared" si="35"/>
        <v>0</v>
      </c>
      <c r="P278" s="59"/>
      <c r="Q278" s="151"/>
      <c r="R278" s="55"/>
      <c r="S278" s="55"/>
    </row>
    <row r="279" spans="1:19" ht="20.100000000000001" customHeight="1" x14ac:dyDescent="0.3">
      <c r="A279" s="1">
        <v>61</v>
      </c>
      <c r="B279" s="109" t="s">
        <v>143</v>
      </c>
      <c r="C279" s="80" t="s">
        <v>222</v>
      </c>
      <c r="D279" s="143"/>
      <c r="E279" s="33">
        <f t="shared" si="44"/>
        <v>1083.3333333333333</v>
      </c>
      <c r="F279" s="143"/>
      <c r="G279" s="33">
        <f t="shared" si="38"/>
        <v>1083.3333333333333</v>
      </c>
      <c r="H279" s="33"/>
      <c r="I279" s="145">
        <f t="shared" si="42"/>
        <v>1083.3333333333333</v>
      </c>
      <c r="J279" s="64">
        <f t="shared" si="40"/>
        <v>0</v>
      </c>
      <c r="K279" s="33">
        <f t="shared" si="40"/>
        <v>3250</v>
      </c>
      <c r="L279" s="65">
        <f t="shared" si="41"/>
        <v>0</v>
      </c>
      <c r="M279" s="155">
        <f>2284.39+J279</f>
        <v>2284.39</v>
      </c>
      <c r="N279" s="82">
        <v>13000</v>
      </c>
      <c r="O279" s="83">
        <f t="shared" si="35"/>
        <v>17.572230769230767</v>
      </c>
      <c r="P279" s="59"/>
      <c r="Q279" s="151"/>
      <c r="R279" s="55"/>
      <c r="S279" s="55"/>
    </row>
    <row r="280" spans="1:19" ht="20.100000000000001" customHeight="1" x14ac:dyDescent="0.3">
      <c r="A280" s="1">
        <v>62</v>
      </c>
      <c r="B280" s="109" t="s">
        <v>144</v>
      </c>
      <c r="C280" s="80" t="s">
        <v>310</v>
      </c>
      <c r="D280" s="143"/>
      <c r="E280" s="33">
        <f t="shared" si="44"/>
        <v>11618.916666666666</v>
      </c>
      <c r="F280" s="143"/>
      <c r="G280" s="33">
        <f t="shared" si="38"/>
        <v>11618.916666666666</v>
      </c>
      <c r="H280" s="33"/>
      <c r="I280" s="145">
        <f t="shared" si="42"/>
        <v>11618.916666666666</v>
      </c>
      <c r="J280" s="64">
        <f t="shared" si="40"/>
        <v>0</v>
      </c>
      <c r="K280" s="33">
        <f t="shared" si="40"/>
        <v>34856.75</v>
      </c>
      <c r="L280" s="65">
        <f t="shared" si="41"/>
        <v>0</v>
      </c>
      <c r="M280" s="155">
        <f>116410.09+J280</f>
        <v>116410.09</v>
      </c>
      <c r="N280" s="82">
        <v>139427</v>
      </c>
      <c r="O280" s="83">
        <f t="shared" si="35"/>
        <v>83.491784231174734</v>
      </c>
      <c r="P280" s="59"/>
      <c r="Q280" s="151"/>
      <c r="R280" s="55"/>
      <c r="S280" s="55"/>
    </row>
    <row r="281" spans="1:19" ht="20.100000000000001" customHeight="1" x14ac:dyDescent="0.3">
      <c r="A281" s="1">
        <v>63</v>
      </c>
      <c r="B281" s="109" t="s">
        <v>186</v>
      </c>
      <c r="C281" s="80" t="s">
        <v>311</v>
      </c>
      <c r="D281" s="143"/>
      <c r="E281" s="33">
        <f t="shared" si="44"/>
        <v>8333.3333333333339</v>
      </c>
      <c r="F281" s="143"/>
      <c r="G281" s="33">
        <f t="shared" si="38"/>
        <v>8333.3333333333339</v>
      </c>
      <c r="H281" s="33"/>
      <c r="I281" s="145">
        <f t="shared" si="42"/>
        <v>8333.3333333333339</v>
      </c>
      <c r="J281" s="64">
        <f t="shared" si="40"/>
        <v>0</v>
      </c>
      <c r="K281" s="33">
        <f t="shared" si="40"/>
        <v>25000</v>
      </c>
      <c r="L281" s="65">
        <f t="shared" si="41"/>
        <v>0</v>
      </c>
      <c r="M281" s="155">
        <f t="shared" si="45"/>
        <v>0</v>
      </c>
      <c r="N281" s="82">
        <v>100000</v>
      </c>
      <c r="O281" s="83">
        <f t="shared" si="35"/>
        <v>0</v>
      </c>
      <c r="P281" s="59"/>
      <c r="Q281" s="151"/>
      <c r="R281" s="55"/>
      <c r="S281" s="55"/>
    </row>
    <row r="282" spans="1:19" ht="20.100000000000001" customHeight="1" x14ac:dyDescent="0.3">
      <c r="A282" s="1">
        <v>64</v>
      </c>
      <c r="B282" s="109" t="s">
        <v>313</v>
      </c>
      <c r="C282" s="80" t="s">
        <v>312</v>
      </c>
      <c r="D282" s="143"/>
      <c r="E282" s="33">
        <f t="shared" si="44"/>
        <v>5833.333333333333</v>
      </c>
      <c r="F282" s="144"/>
      <c r="G282" s="33">
        <f t="shared" si="38"/>
        <v>5833.333333333333</v>
      </c>
      <c r="H282" s="33"/>
      <c r="I282" s="145">
        <f t="shared" si="42"/>
        <v>5833.333333333333</v>
      </c>
      <c r="J282" s="64">
        <f t="shared" si="40"/>
        <v>0</v>
      </c>
      <c r="K282" s="33">
        <f t="shared" si="40"/>
        <v>17500</v>
      </c>
      <c r="L282" s="65">
        <f t="shared" si="41"/>
        <v>0</v>
      </c>
      <c r="M282" s="155">
        <f t="shared" si="45"/>
        <v>0</v>
      </c>
      <c r="N282" s="82">
        <v>70000</v>
      </c>
      <c r="O282" s="83">
        <f t="shared" si="35"/>
        <v>0</v>
      </c>
      <c r="P282" s="59"/>
      <c r="Q282" s="151"/>
      <c r="R282" s="55"/>
      <c r="S282" s="55"/>
    </row>
    <row r="283" spans="1:19" ht="20.100000000000001" customHeight="1" x14ac:dyDescent="0.3">
      <c r="A283" s="1">
        <v>65</v>
      </c>
      <c r="B283" s="109" t="s">
        <v>314</v>
      </c>
      <c r="C283" s="80" t="s">
        <v>223</v>
      </c>
      <c r="D283" s="35">
        <v>2572711.81</v>
      </c>
      <c r="E283" s="33">
        <f t="shared" si="44"/>
        <v>2809290.3333333335</v>
      </c>
      <c r="F283" s="144">
        <v>2391449.23</v>
      </c>
      <c r="G283" s="33">
        <f t="shared" si="38"/>
        <v>2809290.3333333335</v>
      </c>
      <c r="H283" s="33">
        <v>2369716.71</v>
      </c>
      <c r="I283" s="141">
        <f t="shared" si="42"/>
        <v>2809290.3333333335</v>
      </c>
      <c r="J283" s="64">
        <f t="shared" si="40"/>
        <v>7333877.75</v>
      </c>
      <c r="K283" s="33">
        <f t="shared" si="40"/>
        <v>8427871</v>
      </c>
      <c r="L283" s="65">
        <f t="shared" si="41"/>
        <v>87.01934035297883</v>
      </c>
      <c r="M283" s="155">
        <f>14078972.32+J283</f>
        <v>21412850.07</v>
      </c>
      <c r="N283" s="82">
        <v>33711484</v>
      </c>
      <c r="O283" s="83">
        <f t="shared" si="35"/>
        <v>63.517969336502652</v>
      </c>
      <c r="P283" s="59"/>
      <c r="Q283" s="151"/>
      <c r="R283" s="55"/>
      <c r="S283" s="55"/>
    </row>
    <row r="284" spans="1:19" ht="20.100000000000001" customHeight="1" x14ac:dyDescent="0.3">
      <c r="A284" s="1">
        <v>66</v>
      </c>
      <c r="B284" s="109" t="s">
        <v>315</v>
      </c>
      <c r="C284" s="80" t="s">
        <v>224</v>
      </c>
      <c r="D284" s="143">
        <v>277649.75</v>
      </c>
      <c r="E284" s="33">
        <f t="shared" si="44"/>
        <v>100000</v>
      </c>
      <c r="F284" s="144">
        <v>42598.61</v>
      </c>
      <c r="G284" s="33">
        <f t="shared" si="38"/>
        <v>100000</v>
      </c>
      <c r="H284" s="33">
        <v>40979.54</v>
      </c>
      <c r="I284" s="146">
        <f t="shared" si="42"/>
        <v>100000</v>
      </c>
      <c r="J284" s="64">
        <f t="shared" si="40"/>
        <v>361227.89999999997</v>
      </c>
      <c r="K284" s="33">
        <f t="shared" si="40"/>
        <v>300000</v>
      </c>
      <c r="L284" s="65">
        <f t="shared" si="41"/>
        <v>120.40929999999999</v>
      </c>
      <c r="M284" s="155">
        <f>570000+J284</f>
        <v>931227.89999999991</v>
      </c>
      <c r="N284" s="82">
        <v>1200000</v>
      </c>
      <c r="O284" s="83">
        <f t="shared" si="35"/>
        <v>77.602324999999993</v>
      </c>
      <c r="P284" s="59"/>
      <c r="Q284" s="151"/>
      <c r="R284" s="55"/>
      <c r="S284" s="55"/>
    </row>
    <row r="285" spans="1:19" ht="20.100000000000001" customHeight="1" x14ac:dyDescent="0.3">
      <c r="B285" s="109" t="s">
        <v>317</v>
      </c>
      <c r="C285" s="80" t="s">
        <v>316</v>
      </c>
      <c r="D285" s="143"/>
      <c r="E285" s="33">
        <f t="shared" si="44"/>
        <v>16666.666666666668</v>
      </c>
      <c r="F285" s="144"/>
      <c r="G285" s="33">
        <f t="shared" si="38"/>
        <v>16666.666666666668</v>
      </c>
      <c r="H285" s="33"/>
      <c r="I285" s="146">
        <f t="shared" si="42"/>
        <v>16666.666666666668</v>
      </c>
      <c r="J285" s="64">
        <f t="shared" si="40"/>
        <v>0</v>
      </c>
      <c r="K285" s="33">
        <f t="shared" si="40"/>
        <v>50000</v>
      </c>
      <c r="L285" s="65">
        <f t="shared" si="41"/>
        <v>0</v>
      </c>
      <c r="M285" s="155">
        <f t="shared" si="45"/>
        <v>0</v>
      </c>
      <c r="N285" s="82">
        <v>200000</v>
      </c>
      <c r="O285" s="83">
        <f t="shared" si="35"/>
        <v>0</v>
      </c>
      <c r="P285" s="59"/>
      <c r="Q285" s="151"/>
      <c r="R285" s="55"/>
      <c r="S285" s="55"/>
    </row>
    <row r="286" spans="1:19" ht="20.100000000000001" customHeight="1" x14ac:dyDescent="0.3">
      <c r="B286" s="109" t="s">
        <v>326</v>
      </c>
      <c r="C286" s="80" t="s">
        <v>329</v>
      </c>
      <c r="D286" s="143"/>
      <c r="E286" s="33">
        <f t="shared" si="44"/>
        <v>8333.3333333333339</v>
      </c>
      <c r="F286" s="144"/>
      <c r="G286" s="33">
        <f t="shared" si="38"/>
        <v>8333.3333333333339</v>
      </c>
      <c r="H286" s="33"/>
      <c r="I286" s="146">
        <f t="shared" si="42"/>
        <v>8333.3333333333339</v>
      </c>
      <c r="J286" s="64">
        <f t="shared" si="40"/>
        <v>0</v>
      </c>
      <c r="K286" s="33">
        <f t="shared" si="40"/>
        <v>25000</v>
      </c>
      <c r="L286" s="65">
        <f t="shared" si="41"/>
        <v>0</v>
      </c>
      <c r="M286" s="155">
        <f>39938.8+J286</f>
        <v>39938.800000000003</v>
      </c>
      <c r="N286" s="82">
        <v>100000</v>
      </c>
      <c r="O286" s="83">
        <f t="shared" si="35"/>
        <v>39.938800000000001</v>
      </c>
      <c r="P286" s="59"/>
      <c r="Q286" s="151"/>
      <c r="R286" s="55"/>
      <c r="S286" s="55"/>
    </row>
    <row r="287" spans="1:19" ht="20.100000000000001" customHeight="1" x14ac:dyDescent="0.3">
      <c r="A287" s="1">
        <v>67</v>
      </c>
      <c r="B287" s="109" t="s">
        <v>327</v>
      </c>
      <c r="C287" s="80" t="s">
        <v>330</v>
      </c>
      <c r="D287" s="143"/>
      <c r="E287" s="33">
        <f t="shared" si="44"/>
        <v>20833.333333333332</v>
      </c>
      <c r="F287" s="144"/>
      <c r="G287" s="33">
        <f t="shared" si="38"/>
        <v>20833.333333333332</v>
      </c>
      <c r="H287" s="33"/>
      <c r="I287" s="146">
        <f t="shared" si="42"/>
        <v>20833.333333333332</v>
      </c>
      <c r="J287" s="64">
        <f t="shared" si="40"/>
        <v>0</v>
      </c>
      <c r="K287" s="33">
        <f t="shared" si="40"/>
        <v>62500</v>
      </c>
      <c r="L287" s="65">
        <f t="shared" si="41"/>
        <v>0</v>
      </c>
      <c r="M287" s="155">
        <f t="shared" si="45"/>
        <v>0</v>
      </c>
      <c r="N287" s="82">
        <v>250000</v>
      </c>
      <c r="O287" s="83">
        <f t="shared" si="35"/>
        <v>0</v>
      </c>
      <c r="P287" s="59"/>
      <c r="Q287" s="151"/>
      <c r="R287" s="55"/>
      <c r="S287" s="55"/>
    </row>
    <row r="288" spans="1:19" ht="20.100000000000001" customHeight="1" x14ac:dyDescent="0.3">
      <c r="A288" s="1">
        <v>69</v>
      </c>
      <c r="B288" s="109" t="s">
        <v>328</v>
      </c>
      <c r="C288" s="80" t="s">
        <v>331</v>
      </c>
      <c r="D288" s="143"/>
      <c r="E288" s="33">
        <f t="shared" si="44"/>
        <v>105222.52750000001</v>
      </c>
      <c r="F288" s="144"/>
      <c r="G288" s="33">
        <f t="shared" si="38"/>
        <v>105222.52750000001</v>
      </c>
      <c r="H288" s="33"/>
      <c r="I288" s="141">
        <f t="shared" si="42"/>
        <v>105222.52750000001</v>
      </c>
      <c r="J288" s="64">
        <f t="shared" si="40"/>
        <v>0</v>
      </c>
      <c r="K288" s="33">
        <f t="shared" si="40"/>
        <v>315667.58250000002</v>
      </c>
      <c r="L288" s="65">
        <f t="shared" si="41"/>
        <v>0</v>
      </c>
      <c r="M288" s="155">
        <f t="shared" si="45"/>
        <v>0</v>
      </c>
      <c r="N288" s="82">
        <v>1262670.33</v>
      </c>
      <c r="O288" s="83">
        <f t="shared" si="35"/>
        <v>0</v>
      </c>
      <c r="P288" s="59"/>
      <c r="Q288" s="151"/>
      <c r="R288" s="55"/>
      <c r="S288" s="55"/>
    </row>
    <row r="289" spans="1:19" ht="20.100000000000001" customHeight="1" x14ac:dyDescent="0.3">
      <c r="A289" s="1">
        <v>70</v>
      </c>
      <c r="B289" s="109" t="s">
        <v>337</v>
      </c>
      <c r="C289" s="80" t="s">
        <v>422</v>
      </c>
      <c r="D289" s="143">
        <v>1500000.01</v>
      </c>
      <c r="E289" s="33">
        <f t="shared" si="44"/>
        <v>298622.33333333331</v>
      </c>
      <c r="F289" s="144"/>
      <c r="G289" s="33">
        <f t="shared" si="38"/>
        <v>298622.33333333331</v>
      </c>
      <c r="H289" s="33">
        <v>1800000</v>
      </c>
      <c r="I289" s="145">
        <f t="shared" si="42"/>
        <v>298622.33333333331</v>
      </c>
      <c r="J289" s="64">
        <f t="shared" si="40"/>
        <v>3300000.01</v>
      </c>
      <c r="K289" s="33">
        <f t="shared" si="40"/>
        <v>895867</v>
      </c>
      <c r="L289" s="65">
        <f t="shared" si="41"/>
        <v>368.35825072248446</v>
      </c>
      <c r="M289" s="155">
        <f>0+J289</f>
        <v>3300000.01</v>
      </c>
      <c r="N289" s="82">
        <v>3583468</v>
      </c>
      <c r="O289" s="83">
        <f t="shared" si="35"/>
        <v>92.089562680621114</v>
      </c>
      <c r="P289" s="59"/>
      <c r="Q289" s="151"/>
      <c r="R289" s="55"/>
      <c r="S289" s="55"/>
    </row>
    <row r="290" spans="1:19" ht="20.100000000000001" customHeight="1" x14ac:dyDescent="0.3">
      <c r="A290" s="1">
        <v>71</v>
      </c>
      <c r="B290" s="109" t="s">
        <v>338</v>
      </c>
      <c r="C290" s="80" t="s">
        <v>342</v>
      </c>
      <c r="D290" s="143"/>
      <c r="E290" s="33">
        <f t="shared" si="44"/>
        <v>52625</v>
      </c>
      <c r="F290" s="144"/>
      <c r="G290" s="33">
        <f t="shared" si="38"/>
        <v>52625</v>
      </c>
      <c r="H290" s="33"/>
      <c r="I290" s="145">
        <f t="shared" si="42"/>
        <v>52625</v>
      </c>
      <c r="J290" s="64">
        <f t="shared" si="40"/>
        <v>0</v>
      </c>
      <c r="K290" s="33">
        <f t="shared" si="40"/>
        <v>157875</v>
      </c>
      <c r="L290" s="65">
        <f t="shared" si="41"/>
        <v>0</v>
      </c>
      <c r="M290" s="155">
        <f>0+J290</f>
        <v>0</v>
      </c>
      <c r="N290" s="82">
        <v>631500</v>
      </c>
      <c r="O290" s="83">
        <f t="shared" si="35"/>
        <v>0</v>
      </c>
      <c r="P290" s="59"/>
      <c r="Q290" s="151"/>
      <c r="R290" s="55"/>
      <c r="S290" s="55"/>
    </row>
    <row r="291" spans="1:19" ht="20.100000000000001" customHeight="1" x14ac:dyDescent="0.3">
      <c r="B291" s="109" t="s">
        <v>339</v>
      </c>
      <c r="C291" s="80" t="s">
        <v>423</v>
      </c>
      <c r="D291" s="143">
        <v>247500</v>
      </c>
      <c r="E291" s="33">
        <f t="shared" si="44"/>
        <v>45833.333333333336</v>
      </c>
      <c r="F291" s="144"/>
      <c r="G291" s="33">
        <f t="shared" si="38"/>
        <v>45833.333333333336</v>
      </c>
      <c r="H291" s="33"/>
      <c r="I291" s="145">
        <f t="shared" si="42"/>
        <v>45833.333333333336</v>
      </c>
      <c r="J291" s="64">
        <f t="shared" si="40"/>
        <v>247500</v>
      </c>
      <c r="K291" s="33">
        <f t="shared" si="40"/>
        <v>137500</v>
      </c>
      <c r="L291" s="65">
        <f t="shared" si="41"/>
        <v>180</v>
      </c>
      <c r="M291" s="155">
        <f>0+J291</f>
        <v>247500</v>
      </c>
      <c r="N291" s="82">
        <v>550000</v>
      </c>
      <c r="O291" s="83">
        <f t="shared" si="35"/>
        <v>45</v>
      </c>
      <c r="P291" s="59"/>
      <c r="Q291" s="151"/>
      <c r="R291" s="55"/>
      <c r="S291" s="55"/>
    </row>
    <row r="292" spans="1:19" ht="20.100000000000001" customHeight="1" x14ac:dyDescent="0.3">
      <c r="B292" s="109" t="s">
        <v>340</v>
      </c>
      <c r="C292" s="80" t="s">
        <v>46</v>
      </c>
      <c r="D292" s="143"/>
      <c r="E292" s="33">
        <f t="shared" si="44"/>
        <v>30086</v>
      </c>
      <c r="F292" s="144"/>
      <c r="G292" s="33">
        <f t="shared" si="38"/>
        <v>30086</v>
      </c>
      <c r="H292" s="33"/>
      <c r="I292" s="145">
        <f t="shared" si="42"/>
        <v>30086</v>
      </c>
      <c r="J292" s="64">
        <f t="shared" si="40"/>
        <v>0</v>
      </c>
      <c r="K292" s="33">
        <f t="shared" si="40"/>
        <v>90258</v>
      </c>
      <c r="L292" s="65">
        <f t="shared" si="41"/>
        <v>0</v>
      </c>
      <c r="M292" s="155">
        <f>361032+J292</f>
        <v>361032</v>
      </c>
      <c r="N292" s="82">
        <v>361032</v>
      </c>
      <c r="O292" s="83">
        <f t="shared" si="35"/>
        <v>100</v>
      </c>
      <c r="P292" s="59"/>
      <c r="Q292" s="151"/>
      <c r="R292" s="55"/>
      <c r="S292" s="55"/>
    </row>
    <row r="293" spans="1:19" ht="20.100000000000001" customHeight="1" x14ac:dyDescent="0.3">
      <c r="B293" s="109" t="s">
        <v>341</v>
      </c>
      <c r="C293" s="80" t="s">
        <v>424</v>
      </c>
      <c r="D293" s="143"/>
      <c r="E293" s="33">
        <f t="shared" si="44"/>
        <v>74641.333333333328</v>
      </c>
      <c r="F293" s="144"/>
      <c r="G293" s="33">
        <f t="shared" si="38"/>
        <v>74641.333333333328</v>
      </c>
      <c r="H293" s="33"/>
      <c r="I293" s="145">
        <f t="shared" si="42"/>
        <v>74641.333333333328</v>
      </c>
      <c r="J293" s="64">
        <f t="shared" si="40"/>
        <v>0</v>
      </c>
      <c r="K293" s="33">
        <f t="shared" si="40"/>
        <v>223924</v>
      </c>
      <c r="L293" s="65">
        <f t="shared" si="41"/>
        <v>0</v>
      </c>
      <c r="M293" s="155">
        <f>895696+J293</f>
        <v>895696</v>
      </c>
      <c r="N293" s="82">
        <v>895696</v>
      </c>
      <c r="O293" s="83">
        <f t="shared" si="35"/>
        <v>100</v>
      </c>
      <c r="P293" s="59"/>
      <c r="Q293" s="151"/>
      <c r="R293" s="55"/>
      <c r="S293" s="55"/>
    </row>
    <row r="294" spans="1:19" ht="20.100000000000001" customHeight="1" x14ac:dyDescent="0.3">
      <c r="B294" s="109" t="s">
        <v>343</v>
      </c>
      <c r="C294" s="80" t="s">
        <v>346</v>
      </c>
      <c r="D294" s="143"/>
      <c r="E294" s="33">
        <f t="shared" si="44"/>
        <v>5000</v>
      </c>
      <c r="F294" s="144"/>
      <c r="G294" s="33">
        <f t="shared" si="38"/>
        <v>5000</v>
      </c>
      <c r="H294" s="33"/>
      <c r="I294" s="145">
        <f t="shared" si="42"/>
        <v>5000</v>
      </c>
      <c r="J294" s="64">
        <f t="shared" si="40"/>
        <v>0</v>
      </c>
      <c r="K294" s="33">
        <f t="shared" si="40"/>
        <v>15000</v>
      </c>
      <c r="L294" s="65">
        <f t="shared" si="41"/>
        <v>0</v>
      </c>
      <c r="M294" s="155">
        <f>0+J294</f>
        <v>0</v>
      </c>
      <c r="N294" s="82">
        <v>60000</v>
      </c>
      <c r="O294" s="83">
        <f t="shared" si="35"/>
        <v>0</v>
      </c>
      <c r="P294" s="59"/>
      <c r="Q294" s="151"/>
      <c r="R294" s="55"/>
      <c r="S294" s="55"/>
    </row>
    <row r="295" spans="1:19" ht="20.100000000000001" customHeight="1" x14ac:dyDescent="0.3">
      <c r="B295" s="109" t="s">
        <v>344</v>
      </c>
      <c r="C295" s="80" t="s">
        <v>347</v>
      </c>
      <c r="D295" s="143"/>
      <c r="E295" s="33">
        <f t="shared" si="44"/>
        <v>15000</v>
      </c>
      <c r="F295" s="144"/>
      <c r="G295" s="33">
        <f t="shared" si="38"/>
        <v>15000</v>
      </c>
      <c r="H295" s="33"/>
      <c r="I295" s="145">
        <f t="shared" si="42"/>
        <v>15000</v>
      </c>
      <c r="J295" s="64">
        <f t="shared" si="40"/>
        <v>0</v>
      </c>
      <c r="K295" s="33">
        <f t="shared" si="40"/>
        <v>45000</v>
      </c>
      <c r="L295" s="65">
        <f t="shared" si="41"/>
        <v>0</v>
      </c>
      <c r="M295" s="155">
        <f>87000+J295</f>
        <v>87000</v>
      </c>
      <c r="N295" s="82">
        <v>180000</v>
      </c>
      <c r="O295" s="83">
        <f t="shared" si="35"/>
        <v>48.333333333333336</v>
      </c>
      <c r="P295" s="59"/>
      <c r="Q295" s="151"/>
      <c r="R295" s="55"/>
      <c r="S295" s="55"/>
    </row>
    <row r="296" spans="1:19" ht="20.100000000000001" customHeight="1" x14ac:dyDescent="0.3">
      <c r="B296" s="109" t="s">
        <v>345</v>
      </c>
      <c r="C296" s="80" t="s">
        <v>425</v>
      </c>
      <c r="D296" s="143">
        <v>72320.42</v>
      </c>
      <c r="E296" s="33">
        <f t="shared" si="44"/>
        <v>83333.333333333328</v>
      </c>
      <c r="F296" s="144">
        <v>8511.52</v>
      </c>
      <c r="G296" s="33">
        <f t="shared" si="38"/>
        <v>83333.333333333328</v>
      </c>
      <c r="H296" s="33">
        <v>109706.69</v>
      </c>
      <c r="I296" s="145">
        <f t="shared" si="42"/>
        <v>83333.333333333328</v>
      </c>
      <c r="J296" s="64">
        <f t="shared" si="40"/>
        <v>190538.63</v>
      </c>
      <c r="K296" s="33">
        <f t="shared" si="40"/>
        <v>250000</v>
      </c>
      <c r="L296" s="65">
        <f t="shared" si="41"/>
        <v>76.215451999999999</v>
      </c>
      <c r="M296" s="155">
        <f>653818.36+J296</f>
        <v>844356.99</v>
      </c>
      <c r="N296" s="82">
        <v>1000000</v>
      </c>
      <c r="O296" s="83">
        <f t="shared" si="35"/>
        <v>84.435699</v>
      </c>
      <c r="P296" s="59"/>
      <c r="Q296" s="151"/>
      <c r="R296" s="55"/>
      <c r="S296" s="55"/>
    </row>
    <row r="297" spans="1:19" ht="20.100000000000001" customHeight="1" x14ac:dyDescent="0.3">
      <c r="B297" s="109" t="s">
        <v>392</v>
      </c>
      <c r="C297" s="80" t="s">
        <v>394</v>
      </c>
      <c r="D297" s="143"/>
      <c r="E297" s="33">
        <f t="shared" si="44"/>
        <v>31433.674999999999</v>
      </c>
      <c r="F297" s="144"/>
      <c r="G297" s="33">
        <f t="shared" si="38"/>
        <v>31433.674999999999</v>
      </c>
      <c r="H297" s="33"/>
      <c r="I297" s="145">
        <f t="shared" si="42"/>
        <v>31433.674999999999</v>
      </c>
      <c r="J297" s="64">
        <f t="shared" si="40"/>
        <v>0</v>
      </c>
      <c r="K297" s="33">
        <f t="shared" si="40"/>
        <v>94301.024999999994</v>
      </c>
      <c r="L297" s="65">
        <f t="shared" si="41"/>
        <v>0</v>
      </c>
      <c r="M297" s="155">
        <f>0+J297</f>
        <v>0</v>
      </c>
      <c r="N297" s="82">
        <v>377204.1</v>
      </c>
      <c r="O297" s="83">
        <f t="shared" si="35"/>
        <v>0</v>
      </c>
      <c r="P297" s="59"/>
      <c r="Q297" s="151"/>
      <c r="R297" s="55"/>
      <c r="S297" s="55"/>
    </row>
    <row r="298" spans="1:19" ht="20.100000000000001" customHeight="1" x14ac:dyDescent="0.3">
      <c r="B298" s="109" t="s">
        <v>393</v>
      </c>
      <c r="C298" s="80" t="s">
        <v>401</v>
      </c>
      <c r="D298" s="143"/>
      <c r="E298" s="33">
        <f t="shared" si="44"/>
        <v>47150.512500000004</v>
      </c>
      <c r="F298" s="144"/>
      <c r="G298" s="33">
        <f t="shared" si="38"/>
        <v>47150.512500000004</v>
      </c>
      <c r="H298" s="33"/>
      <c r="I298" s="145">
        <f t="shared" si="42"/>
        <v>47150.512500000004</v>
      </c>
      <c r="J298" s="64">
        <f t="shared" si="40"/>
        <v>0</v>
      </c>
      <c r="K298" s="33">
        <f t="shared" si="40"/>
        <v>141451.53750000001</v>
      </c>
      <c r="L298" s="65">
        <f t="shared" si="41"/>
        <v>0</v>
      </c>
      <c r="M298" s="155">
        <f>0+J298</f>
        <v>0</v>
      </c>
      <c r="N298" s="82">
        <v>565806.15</v>
      </c>
      <c r="O298" s="83">
        <f t="shared" si="35"/>
        <v>0</v>
      </c>
      <c r="P298" s="59"/>
      <c r="Q298" s="151"/>
      <c r="R298" s="55"/>
      <c r="S298" s="55"/>
    </row>
    <row r="299" spans="1:19" ht="20.100000000000001" customHeight="1" x14ac:dyDescent="0.3">
      <c r="B299" s="109" t="s">
        <v>145</v>
      </c>
      <c r="C299" s="80" t="s">
        <v>318</v>
      </c>
      <c r="D299" s="143"/>
      <c r="E299" s="33">
        <f t="shared" si="44"/>
        <v>145833.33333333334</v>
      </c>
      <c r="F299" s="144"/>
      <c r="G299" s="33">
        <f t="shared" si="38"/>
        <v>145833.33333333334</v>
      </c>
      <c r="H299" s="33">
        <v>388200</v>
      </c>
      <c r="I299" s="145">
        <f t="shared" si="42"/>
        <v>145833.33333333334</v>
      </c>
      <c r="J299" s="64">
        <f t="shared" si="40"/>
        <v>388200</v>
      </c>
      <c r="K299" s="33">
        <f t="shared" si="40"/>
        <v>437500</v>
      </c>
      <c r="L299" s="65">
        <f t="shared" si="41"/>
        <v>88.731428571428566</v>
      </c>
      <c r="M299" s="155">
        <f>388800+J299</f>
        <v>777000</v>
      </c>
      <c r="N299" s="82">
        <v>1750000</v>
      </c>
      <c r="O299" s="83">
        <f t="shared" si="35"/>
        <v>44.4</v>
      </c>
      <c r="P299" s="59"/>
      <c r="Q299" s="151"/>
      <c r="R299" s="55"/>
      <c r="S299" s="55"/>
    </row>
    <row r="300" spans="1:19" ht="20.100000000000001" customHeight="1" x14ac:dyDescent="0.3">
      <c r="B300" s="109" t="s">
        <v>47</v>
      </c>
      <c r="C300" s="80" t="s">
        <v>319</v>
      </c>
      <c r="D300" s="143"/>
      <c r="E300" s="33">
        <f t="shared" si="44"/>
        <v>266666.66666666669</v>
      </c>
      <c r="F300" s="144"/>
      <c r="G300" s="33">
        <f t="shared" si="38"/>
        <v>266666.66666666669</v>
      </c>
      <c r="H300" s="33"/>
      <c r="I300" s="145">
        <f t="shared" si="42"/>
        <v>266666.66666666669</v>
      </c>
      <c r="J300" s="64">
        <f t="shared" si="40"/>
        <v>0</v>
      </c>
      <c r="K300" s="33">
        <f t="shared" si="40"/>
        <v>800000</v>
      </c>
      <c r="L300" s="65">
        <f t="shared" si="41"/>
        <v>0</v>
      </c>
      <c r="M300" s="155">
        <f>0+J300</f>
        <v>0</v>
      </c>
      <c r="N300" s="82">
        <v>3200000</v>
      </c>
      <c r="O300" s="83">
        <f t="shared" si="35"/>
        <v>0</v>
      </c>
      <c r="P300" s="59"/>
      <c r="Q300" s="151"/>
      <c r="R300" s="55"/>
      <c r="S300" s="55"/>
    </row>
    <row r="301" spans="1:19" ht="20.100000000000001" customHeight="1" x14ac:dyDescent="0.3">
      <c r="B301" s="109" t="s">
        <v>146</v>
      </c>
      <c r="C301" s="80" t="s">
        <v>320</v>
      </c>
      <c r="D301" s="143"/>
      <c r="E301" s="33">
        <f t="shared" si="44"/>
        <v>200000</v>
      </c>
      <c r="F301" s="144"/>
      <c r="G301" s="33">
        <f t="shared" si="38"/>
        <v>200000</v>
      </c>
      <c r="H301" s="33"/>
      <c r="I301" s="145">
        <f t="shared" si="42"/>
        <v>200000</v>
      </c>
      <c r="J301" s="64">
        <f t="shared" si="40"/>
        <v>0</v>
      </c>
      <c r="K301" s="33">
        <f t="shared" si="40"/>
        <v>600000</v>
      </c>
      <c r="L301" s="65">
        <f t="shared" si="41"/>
        <v>0</v>
      </c>
      <c r="M301" s="155">
        <f>2248000+J301</f>
        <v>2248000</v>
      </c>
      <c r="N301" s="82">
        <v>2400000</v>
      </c>
      <c r="O301" s="83">
        <f t="shared" si="35"/>
        <v>93.666666666666671</v>
      </c>
      <c r="P301" s="59"/>
      <c r="Q301" s="151"/>
      <c r="R301" s="55"/>
      <c r="S301" s="55"/>
    </row>
    <row r="302" spans="1:19" ht="20.100000000000001" customHeight="1" x14ac:dyDescent="0.3">
      <c r="B302" s="109" t="s">
        <v>52</v>
      </c>
      <c r="C302" s="80" t="s">
        <v>321</v>
      </c>
      <c r="D302" s="143"/>
      <c r="E302" s="33">
        <f t="shared" si="44"/>
        <v>41666.666666666664</v>
      </c>
      <c r="F302" s="144"/>
      <c r="G302" s="33">
        <f t="shared" si="38"/>
        <v>41666.666666666664</v>
      </c>
      <c r="H302" s="33"/>
      <c r="I302" s="145">
        <f t="shared" si="42"/>
        <v>41666.666666666664</v>
      </c>
      <c r="J302" s="64">
        <f t="shared" si="40"/>
        <v>0</v>
      </c>
      <c r="K302" s="33">
        <f t="shared" si="40"/>
        <v>125000</v>
      </c>
      <c r="L302" s="65">
        <f t="shared" si="41"/>
        <v>0</v>
      </c>
      <c r="M302" s="155">
        <f>0+J302</f>
        <v>0</v>
      </c>
      <c r="N302" s="82">
        <v>500000</v>
      </c>
      <c r="O302" s="83">
        <f t="shared" si="35"/>
        <v>0</v>
      </c>
      <c r="P302" s="59"/>
      <c r="Q302" s="151"/>
      <c r="R302" s="55"/>
      <c r="S302" s="55"/>
    </row>
    <row r="303" spans="1:19" ht="20.100000000000001" customHeight="1" x14ac:dyDescent="0.3">
      <c r="B303" s="109" t="s">
        <v>48</v>
      </c>
      <c r="C303" s="80" t="s">
        <v>322</v>
      </c>
      <c r="D303" s="143"/>
      <c r="E303" s="33">
        <f t="shared" si="44"/>
        <v>100000</v>
      </c>
      <c r="F303" s="144"/>
      <c r="G303" s="33">
        <f t="shared" si="38"/>
        <v>100000</v>
      </c>
      <c r="H303" s="33">
        <v>750000</v>
      </c>
      <c r="I303" s="145">
        <f t="shared" si="42"/>
        <v>100000</v>
      </c>
      <c r="J303" s="64">
        <f t="shared" si="40"/>
        <v>750000</v>
      </c>
      <c r="K303" s="33">
        <f t="shared" si="40"/>
        <v>300000</v>
      </c>
      <c r="L303" s="65">
        <f t="shared" si="41"/>
        <v>250</v>
      </c>
      <c r="M303" s="155">
        <f>0+J303</f>
        <v>750000</v>
      </c>
      <c r="N303" s="82">
        <v>1200000</v>
      </c>
      <c r="O303" s="83">
        <f t="shared" si="35"/>
        <v>62.5</v>
      </c>
      <c r="P303" s="59"/>
      <c r="Q303" s="151"/>
      <c r="R303" s="55"/>
      <c r="S303" s="55"/>
    </row>
    <row r="304" spans="1:19" ht="20.100000000000001" customHeight="1" x14ac:dyDescent="0.3">
      <c r="B304" s="109" t="s">
        <v>49</v>
      </c>
      <c r="C304" s="80" t="s">
        <v>323</v>
      </c>
      <c r="D304" s="143"/>
      <c r="E304" s="33">
        <f t="shared" si="44"/>
        <v>35666.666666666664</v>
      </c>
      <c r="F304" s="144"/>
      <c r="G304" s="33">
        <f t="shared" si="38"/>
        <v>35666.666666666664</v>
      </c>
      <c r="H304" s="33"/>
      <c r="I304" s="145">
        <f t="shared" si="42"/>
        <v>35666.666666666664</v>
      </c>
      <c r="J304" s="64">
        <f t="shared" si="40"/>
        <v>0</v>
      </c>
      <c r="K304" s="33">
        <f t="shared" si="40"/>
        <v>107000</v>
      </c>
      <c r="L304" s="65">
        <f t="shared" si="41"/>
        <v>0</v>
      </c>
      <c r="M304" s="155">
        <f>0+J304</f>
        <v>0</v>
      </c>
      <c r="N304" s="82">
        <v>428000</v>
      </c>
      <c r="O304" s="83">
        <f t="shared" si="35"/>
        <v>0</v>
      </c>
      <c r="P304" s="59"/>
      <c r="Q304" s="151"/>
      <c r="R304" s="55"/>
      <c r="S304" s="55"/>
    </row>
    <row r="305" spans="1:19" ht="20.100000000000001" customHeight="1" x14ac:dyDescent="0.3">
      <c r="B305" s="109" t="s">
        <v>50</v>
      </c>
      <c r="C305" s="80" t="s">
        <v>324</v>
      </c>
      <c r="D305" s="143">
        <v>29703.98</v>
      </c>
      <c r="E305" s="33">
        <f t="shared" si="44"/>
        <v>51666.666666666664</v>
      </c>
      <c r="F305" s="144">
        <v>24072.95</v>
      </c>
      <c r="G305" s="33">
        <f t="shared" si="38"/>
        <v>51666.666666666664</v>
      </c>
      <c r="H305" s="33">
        <v>21900.37</v>
      </c>
      <c r="I305" s="145">
        <f t="shared" si="42"/>
        <v>51666.666666666664</v>
      </c>
      <c r="J305" s="64">
        <f t="shared" si="40"/>
        <v>75677.3</v>
      </c>
      <c r="K305" s="33">
        <f t="shared" si="40"/>
        <v>155000</v>
      </c>
      <c r="L305" s="65">
        <f t="shared" si="41"/>
        <v>48.824064516129035</v>
      </c>
      <c r="M305" s="155">
        <f>210594.62+J305</f>
        <v>286271.92</v>
      </c>
      <c r="N305" s="82">
        <v>620000</v>
      </c>
      <c r="O305" s="83">
        <f t="shared" si="35"/>
        <v>46.172890322580642</v>
      </c>
      <c r="P305" s="59"/>
      <c r="Q305" s="151"/>
      <c r="R305" s="55"/>
      <c r="S305" s="55"/>
    </row>
    <row r="306" spans="1:19" ht="20.100000000000001" customHeight="1" x14ac:dyDescent="0.3">
      <c r="B306" s="109" t="s">
        <v>348</v>
      </c>
      <c r="C306" s="80" t="s">
        <v>426</v>
      </c>
      <c r="D306" s="143"/>
      <c r="E306" s="33">
        <f t="shared" si="44"/>
        <v>125000</v>
      </c>
      <c r="F306" s="144"/>
      <c r="G306" s="33">
        <f t="shared" si="38"/>
        <v>125000</v>
      </c>
      <c r="H306" s="33"/>
      <c r="I306" s="145">
        <f t="shared" si="42"/>
        <v>125000</v>
      </c>
      <c r="J306" s="64">
        <f t="shared" si="40"/>
        <v>0</v>
      </c>
      <c r="K306" s="33">
        <f t="shared" si="40"/>
        <v>375000</v>
      </c>
      <c r="L306" s="65">
        <f t="shared" si="41"/>
        <v>0</v>
      </c>
      <c r="M306" s="155">
        <f>0+J306</f>
        <v>0</v>
      </c>
      <c r="N306" s="82">
        <v>1500000</v>
      </c>
      <c r="O306" s="83">
        <f t="shared" ref="O306:O310" si="46">M306/N306*100</f>
        <v>0</v>
      </c>
      <c r="P306" s="59"/>
      <c r="Q306" s="151"/>
      <c r="R306" s="55"/>
      <c r="S306" s="55"/>
    </row>
    <row r="307" spans="1:19" ht="20.100000000000001" customHeight="1" x14ac:dyDescent="0.3">
      <c r="B307" s="109" t="s">
        <v>395</v>
      </c>
      <c r="C307" s="80" t="s">
        <v>398</v>
      </c>
      <c r="D307" s="143">
        <v>310000</v>
      </c>
      <c r="E307" s="33">
        <f t="shared" si="44"/>
        <v>26666.666666666668</v>
      </c>
      <c r="F307" s="144"/>
      <c r="G307" s="33">
        <f t="shared" si="38"/>
        <v>26666.666666666668</v>
      </c>
      <c r="H307" s="33"/>
      <c r="I307" s="145">
        <f t="shared" si="42"/>
        <v>26666.666666666668</v>
      </c>
      <c r="J307" s="64">
        <f t="shared" si="40"/>
        <v>310000</v>
      </c>
      <c r="K307" s="33">
        <f t="shared" si="40"/>
        <v>80000</v>
      </c>
      <c r="L307" s="65">
        <f t="shared" si="41"/>
        <v>387.5</v>
      </c>
      <c r="M307" s="155">
        <f>0+J307</f>
        <v>310000</v>
      </c>
      <c r="N307" s="82">
        <v>320000</v>
      </c>
      <c r="O307" s="83">
        <f t="shared" si="46"/>
        <v>96.875</v>
      </c>
      <c r="P307" s="59"/>
      <c r="Q307" s="151"/>
      <c r="R307" s="55"/>
      <c r="S307" s="55"/>
    </row>
    <row r="308" spans="1:19" ht="20.100000000000001" customHeight="1" x14ac:dyDescent="0.3">
      <c r="B308" s="109" t="s">
        <v>396</v>
      </c>
      <c r="C308" s="80" t="s">
        <v>399</v>
      </c>
      <c r="D308" s="143"/>
      <c r="E308" s="33">
        <f t="shared" si="44"/>
        <v>230090.86166666666</v>
      </c>
      <c r="F308" s="144"/>
      <c r="G308" s="33">
        <f t="shared" si="38"/>
        <v>230090.86166666666</v>
      </c>
      <c r="H308" s="33"/>
      <c r="I308" s="145">
        <f t="shared" si="42"/>
        <v>230090.86166666666</v>
      </c>
      <c r="J308" s="64">
        <f t="shared" si="40"/>
        <v>0</v>
      </c>
      <c r="K308" s="33">
        <f t="shared" si="40"/>
        <v>690272.58499999996</v>
      </c>
      <c r="L308" s="65">
        <f t="shared" si="41"/>
        <v>0</v>
      </c>
      <c r="M308" s="155">
        <f>0+J308</f>
        <v>0</v>
      </c>
      <c r="N308" s="82">
        <v>2761090.34</v>
      </c>
      <c r="O308" s="83">
        <f t="shared" si="46"/>
        <v>0</v>
      </c>
      <c r="P308" s="59"/>
      <c r="Q308" s="151"/>
      <c r="R308" s="55"/>
      <c r="S308" s="55"/>
    </row>
    <row r="309" spans="1:19" ht="20.100000000000001" customHeight="1" x14ac:dyDescent="0.3">
      <c r="B309" s="109" t="s">
        <v>397</v>
      </c>
      <c r="C309" s="80" t="s">
        <v>400</v>
      </c>
      <c r="D309" s="143"/>
      <c r="E309" s="33">
        <f t="shared" si="44"/>
        <v>250000</v>
      </c>
      <c r="F309" s="144"/>
      <c r="G309" s="33">
        <f t="shared" si="38"/>
        <v>250000</v>
      </c>
      <c r="H309" s="33"/>
      <c r="I309" s="145">
        <f t="shared" si="42"/>
        <v>250000</v>
      </c>
      <c r="J309" s="64">
        <f t="shared" si="40"/>
        <v>0</v>
      </c>
      <c r="K309" s="33">
        <f t="shared" si="40"/>
        <v>750000</v>
      </c>
      <c r="L309" s="65">
        <f t="shared" si="41"/>
        <v>0</v>
      </c>
      <c r="M309" s="155">
        <f>0+J309</f>
        <v>0</v>
      </c>
      <c r="N309" s="82">
        <v>3000000</v>
      </c>
      <c r="O309" s="83">
        <f t="shared" si="46"/>
        <v>0</v>
      </c>
      <c r="P309" s="59"/>
      <c r="Q309" s="151"/>
      <c r="R309" s="55"/>
      <c r="S309" s="55"/>
    </row>
    <row r="310" spans="1:19" ht="20.100000000000001" customHeight="1" x14ac:dyDescent="0.3">
      <c r="A310" s="1">
        <v>72</v>
      </c>
      <c r="B310" s="109" t="s">
        <v>51</v>
      </c>
      <c r="C310" s="80" t="s">
        <v>226</v>
      </c>
      <c r="D310" s="143">
        <v>475276.13</v>
      </c>
      <c r="E310" s="33">
        <f t="shared" si="44"/>
        <v>466666.66666666669</v>
      </c>
      <c r="F310" s="35">
        <v>494482.06</v>
      </c>
      <c r="G310" s="33">
        <f t="shared" si="38"/>
        <v>466666.66666666669</v>
      </c>
      <c r="H310" s="33">
        <v>494080.84</v>
      </c>
      <c r="I310" s="145">
        <f t="shared" si="42"/>
        <v>466666.66666666669</v>
      </c>
      <c r="J310" s="64">
        <f t="shared" si="40"/>
        <v>1463839.03</v>
      </c>
      <c r="K310" s="33">
        <f t="shared" si="40"/>
        <v>1400000</v>
      </c>
      <c r="L310" s="65">
        <f t="shared" si="41"/>
        <v>104.55993071428571</v>
      </c>
      <c r="M310" s="155">
        <f>2334196.2+J310</f>
        <v>3798035.2300000004</v>
      </c>
      <c r="N310" s="82">
        <v>5600000</v>
      </c>
      <c r="O310" s="83">
        <f t="shared" si="46"/>
        <v>67.82205767857144</v>
      </c>
      <c r="P310" s="59"/>
      <c r="Q310" s="151"/>
      <c r="R310" s="55"/>
      <c r="S310" s="55"/>
    </row>
    <row r="311" spans="1:19" ht="20.100000000000001" customHeight="1" x14ac:dyDescent="0.3">
      <c r="B311" s="79"/>
      <c r="C311" s="80"/>
      <c r="D311" s="33"/>
      <c r="E311" s="33"/>
      <c r="F311" s="33"/>
      <c r="G311" s="33"/>
      <c r="H311" s="33"/>
      <c r="I311" s="33"/>
      <c r="J311" s="64"/>
      <c r="K311" s="33"/>
      <c r="L311" s="107"/>
      <c r="M311" s="64"/>
      <c r="N311" s="82"/>
      <c r="O311" s="107"/>
      <c r="P311" s="59"/>
      <c r="Q311" s="151"/>
      <c r="R311" s="55"/>
      <c r="S311" s="55"/>
    </row>
    <row r="312" spans="1:19" ht="20.100000000000001" customHeight="1" thickBot="1" x14ac:dyDescent="0.35">
      <c r="B312" s="89" t="s">
        <v>0</v>
      </c>
      <c r="C312" s="90" t="s">
        <v>0</v>
      </c>
      <c r="D312" s="91" t="s">
        <v>0</v>
      </c>
      <c r="E312" s="91" t="s">
        <v>0</v>
      </c>
      <c r="F312" s="91" t="s">
        <v>0</v>
      </c>
      <c r="G312" s="91"/>
      <c r="H312" s="91"/>
      <c r="I312" s="91"/>
      <c r="J312" s="92"/>
      <c r="K312" s="91" t="s">
        <v>0</v>
      </c>
      <c r="L312" s="93" t="s">
        <v>0</v>
      </c>
      <c r="M312" s="92" t="s">
        <v>0</v>
      </c>
      <c r="N312" s="94" t="s">
        <v>0</v>
      </c>
      <c r="O312" s="93" t="s">
        <v>0</v>
      </c>
      <c r="P312" s="59"/>
      <c r="Q312" s="151"/>
      <c r="R312" s="55"/>
      <c r="S312" s="55"/>
    </row>
    <row r="313" spans="1:19" ht="15.6" thickTop="1" thickBot="1" x14ac:dyDescent="0.35">
      <c r="B313" s="31"/>
      <c r="C313" s="31"/>
      <c r="D313" s="35"/>
      <c r="E313" s="35"/>
      <c r="F313" s="35"/>
      <c r="G313" s="35"/>
      <c r="H313" s="35"/>
      <c r="I313" s="35"/>
      <c r="J313" s="35"/>
      <c r="K313" s="35"/>
      <c r="L313" s="31"/>
      <c r="M313" s="35"/>
      <c r="N313" s="35"/>
      <c r="O313" s="31"/>
      <c r="P313" s="59"/>
      <c r="Q313" s="151"/>
      <c r="R313" s="14"/>
      <c r="S313" s="14"/>
    </row>
    <row r="314" spans="1:19" ht="20.100000000000001" customHeight="1" thickBot="1" x14ac:dyDescent="0.35">
      <c r="B314" s="39"/>
      <c r="C314" s="40" t="s">
        <v>20</v>
      </c>
      <c r="D314" s="78">
        <f t="shared" ref="D314:K314" si="47">SUM(D154:D310)</f>
        <v>15323520.91</v>
      </c>
      <c r="E314" s="78">
        <f t="shared" si="47"/>
        <v>20915647.814166673</v>
      </c>
      <c r="F314" s="78">
        <f t="shared" si="47"/>
        <v>15972584.25</v>
      </c>
      <c r="G314" s="78">
        <f t="shared" si="47"/>
        <v>20915647.814166673</v>
      </c>
      <c r="H314" s="78">
        <f t="shared" si="47"/>
        <v>19413946.09</v>
      </c>
      <c r="I314" s="78">
        <f t="shared" si="47"/>
        <v>20915647.814166673</v>
      </c>
      <c r="J314" s="78">
        <f t="shared" si="47"/>
        <v>50710051.250000007</v>
      </c>
      <c r="K314" s="78">
        <f t="shared" si="47"/>
        <v>62746943.44250001</v>
      </c>
      <c r="L314" s="41">
        <f>J314/K314</f>
        <v>0.80816767268464063</v>
      </c>
      <c r="M314" s="38">
        <f>SUM(M154:M313)</f>
        <v>140451583.70999992</v>
      </c>
      <c r="N314" s="38">
        <f>SUM(N154:N313)</f>
        <v>250987773.77000004</v>
      </c>
      <c r="O314" s="43">
        <f>M314/N314</f>
        <v>0.55959532052229288</v>
      </c>
      <c r="P314" s="59"/>
      <c r="Q314" s="151"/>
      <c r="R314" s="14"/>
      <c r="S314" s="14"/>
    </row>
    <row r="315" spans="1:19" ht="20.100000000000001" customHeight="1" x14ac:dyDescent="0.3">
      <c r="B315" s="39"/>
      <c r="C315" s="40"/>
      <c r="D315" s="55"/>
      <c r="E315" s="55"/>
      <c r="F315" s="55"/>
      <c r="G315" s="55"/>
      <c r="H315" s="55"/>
      <c r="I315" s="55"/>
      <c r="J315" s="55"/>
      <c r="K315" s="55"/>
      <c r="L315" s="57" t="s">
        <v>0</v>
      </c>
      <c r="M315" s="55"/>
      <c r="N315" s="55"/>
      <c r="O315" s="57"/>
      <c r="P315" s="59"/>
      <c r="Q315" s="151"/>
      <c r="R315" s="14"/>
      <c r="S315" s="14"/>
    </row>
    <row r="316" spans="1:19" s="114" customFormat="1" ht="40.5" customHeight="1" x14ac:dyDescent="0.3">
      <c r="A316" s="110"/>
      <c r="B316" s="111"/>
      <c r="C316" s="112"/>
      <c r="D316" s="170"/>
      <c r="E316" s="170"/>
      <c r="F316" s="170"/>
      <c r="G316" s="170"/>
      <c r="H316" s="112"/>
      <c r="I316" s="113"/>
      <c r="J316" s="113"/>
      <c r="K316" s="110"/>
      <c r="L316" s="171"/>
      <c r="M316" s="171"/>
      <c r="N316" s="171"/>
      <c r="O316" s="171"/>
      <c r="P316" s="110"/>
      <c r="Q316" s="151"/>
    </row>
    <row r="317" spans="1:19" s="114" customFormat="1" ht="17.25" customHeight="1" x14ac:dyDescent="0.3">
      <c r="A317" s="110"/>
      <c r="B317" s="115"/>
      <c r="C317" s="110"/>
      <c r="D317" s="167" t="s">
        <v>234</v>
      </c>
      <c r="E317" s="167"/>
      <c r="F317" s="167"/>
      <c r="G317" s="167"/>
      <c r="H317" s="116"/>
      <c r="I317" s="117"/>
      <c r="J317" s="116"/>
      <c r="K317" s="167" t="s">
        <v>236</v>
      </c>
      <c r="L317" s="167"/>
      <c r="M317" s="167"/>
      <c r="N317" s="167"/>
      <c r="O317" s="167"/>
      <c r="P317" s="110"/>
      <c r="Q317" s="151"/>
    </row>
    <row r="318" spans="1:19" s="114" customFormat="1" ht="17.25" customHeight="1" x14ac:dyDescent="0.3">
      <c r="A318" s="110"/>
      <c r="B318" s="119"/>
      <c r="C318" s="110"/>
      <c r="D318" s="168" t="s">
        <v>235</v>
      </c>
      <c r="E318" s="168"/>
      <c r="F318" s="168"/>
      <c r="G318" s="168"/>
      <c r="H318" s="116"/>
      <c r="I318" s="117"/>
      <c r="J318" s="116"/>
      <c r="K318" s="168" t="s">
        <v>147</v>
      </c>
      <c r="L318" s="168"/>
      <c r="M318" s="168"/>
      <c r="N318" s="168"/>
      <c r="O318" s="168"/>
      <c r="P318" s="110"/>
      <c r="Q318" s="110"/>
    </row>
    <row r="319" spans="1:19" s="114" customFormat="1" ht="17.399999999999999" x14ac:dyDescent="0.3">
      <c r="A319" s="121"/>
      <c r="B319" s="121"/>
      <c r="C319" s="121"/>
      <c r="D319" s="118"/>
      <c r="E319" s="118"/>
      <c r="F319" s="118"/>
      <c r="G319" s="122"/>
      <c r="H319" s="122"/>
      <c r="I319" s="118"/>
      <c r="J319" s="120"/>
      <c r="K319" s="120"/>
      <c r="L319" s="120"/>
      <c r="M319" s="120"/>
      <c r="N319" s="120"/>
      <c r="O319" s="120"/>
    </row>
    <row r="320" spans="1:19" s="114" customFormat="1" ht="17.399999999999999" x14ac:dyDescent="0.3">
      <c r="A320" s="121"/>
      <c r="B320" s="121"/>
      <c r="C320" s="121"/>
      <c r="D320" s="118"/>
      <c r="E320" s="118"/>
      <c r="F320" s="118"/>
      <c r="G320" s="122"/>
      <c r="H320" s="122"/>
      <c r="I320" s="118"/>
      <c r="J320" s="120"/>
      <c r="K320" s="120"/>
      <c r="L320" s="120"/>
      <c r="M320" s="120"/>
      <c r="N320" s="120"/>
      <c r="O320" s="120"/>
    </row>
    <row r="321" spans="1:19" s="114" customFormat="1" ht="17.399999999999999" x14ac:dyDescent="0.3">
      <c r="A321" s="121"/>
      <c r="B321" s="121"/>
      <c r="C321" s="121"/>
      <c r="D321" s="118"/>
      <c r="E321" s="118"/>
      <c r="F321" s="118"/>
      <c r="G321" s="122"/>
      <c r="H321" s="122"/>
      <c r="I321" s="118"/>
      <c r="J321" s="120"/>
      <c r="K321" s="120"/>
      <c r="L321" s="120"/>
      <c r="M321" s="120"/>
      <c r="N321" s="120"/>
      <c r="O321" s="120"/>
    </row>
    <row r="322" spans="1:19" s="114" customFormat="1" ht="17.399999999999999" x14ac:dyDescent="0.3">
      <c r="A322" s="121"/>
      <c r="B322" s="121"/>
      <c r="C322" s="121"/>
      <c r="D322" s="118"/>
      <c r="E322" s="118"/>
      <c r="F322" s="118"/>
      <c r="G322" s="122"/>
      <c r="H322" s="122"/>
      <c r="I322" s="118"/>
      <c r="J322" s="120"/>
      <c r="K322" s="120"/>
      <c r="L322" s="120"/>
      <c r="M322" s="120"/>
      <c r="N322" s="120"/>
      <c r="O322" s="120"/>
    </row>
    <row r="323" spans="1:19" s="114" customFormat="1" ht="21.75" customHeight="1" x14ac:dyDescent="0.3">
      <c r="A323" s="121"/>
      <c r="B323" s="121"/>
      <c r="C323" s="121"/>
      <c r="D323" s="169"/>
      <c r="E323" s="169"/>
      <c r="F323" s="169"/>
      <c r="G323" s="169"/>
      <c r="H323" s="122"/>
      <c r="I323" s="118"/>
      <c r="J323" s="120"/>
      <c r="K323" s="120"/>
      <c r="L323" s="120"/>
      <c r="M323" s="120"/>
      <c r="N323" s="120"/>
      <c r="O323" s="120"/>
    </row>
    <row r="324" spans="1:19" s="114" customFormat="1" ht="17.399999999999999" x14ac:dyDescent="0.3">
      <c r="A324" s="121"/>
      <c r="B324" s="121"/>
      <c r="C324" s="121"/>
      <c r="D324" s="167" t="s">
        <v>237</v>
      </c>
      <c r="E324" s="167"/>
      <c r="F324" s="167"/>
      <c r="G324" s="167"/>
      <c r="H324" s="122"/>
      <c r="I324" s="118"/>
      <c r="J324" s="120"/>
      <c r="K324" s="120"/>
      <c r="L324" s="120"/>
      <c r="M324" s="120"/>
      <c r="N324" s="120"/>
      <c r="O324" s="120"/>
    </row>
    <row r="325" spans="1:19" s="114" customFormat="1" ht="17.399999999999999" x14ac:dyDescent="0.3">
      <c r="A325" s="121"/>
      <c r="B325" s="121"/>
      <c r="C325" s="121"/>
      <c r="D325" s="168" t="s">
        <v>148</v>
      </c>
      <c r="E325" s="168"/>
      <c r="F325" s="168"/>
      <c r="G325" s="168"/>
      <c r="H325" s="122"/>
      <c r="I325" s="118"/>
      <c r="J325" s="120"/>
      <c r="K325" s="120"/>
      <c r="L325" s="120"/>
      <c r="M325" s="120"/>
      <c r="N325" s="120"/>
      <c r="O325" s="120"/>
    </row>
    <row r="326" spans="1:19" ht="20.100000000000001" customHeight="1" x14ac:dyDescent="0.25">
      <c r="B326" s="14"/>
      <c r="C326" s="15"/>
      <c r="D326" s="100"/>
      <c r="E326" s="74"/>
      <c r="F326" s="74"/>
      <c r="G326" s="74"/>
      <c r="H326" s="74"/>
      <c r="I326" s="74"/>
      <c r="J326" s="100"/>
      <c r="K326" s="100"/>
      <c r="L326" s="100"/>
      <c r="M326" s="74"/>
      <c r="N326" s="74"/>
      <c r="O326" s="75"/>
      <c r="Q326" s="60"/>
    </row>
    <row r="327" spans="1:19" ht="20.100000000000001" customHeight="1" x14ac:dyDescent="0.2">
      <c r="B327" s="39"/>
      <c r="C327" s="40"/>
      <c r="D327" s="55"/>
      <c r="E327" s="55"/>
      <c r="F327" s="55"/>
      <c r="G327" s="55"/>
      <c r="H327" s="55"/>
      <c r="I327" s="55"/>
      <c r="J327" s="55"/>
      <c r="K327" s="55"/>
      <c r="L327" s="58"/>
      <c r="M327" s="55"/>
      <c r="N327" s="55"/>
      <c r="O327" s="58"/>
      <c r="P327" s="59"/>
      <c r="Q327" s="14"/>
      <c r="R327" s="14"/>
      <c r="S327" s="14"/>
    </row>
    <row r="328" spans="1:19" ht="20.100000000000001" customHeight="1" x14ac:dyDescent="0.2">
      <c r="B328" s="39"/>
      <c r="C328" s="40"/>
      <c r="D328" s="55"/>
      <c r="E328" s="55"/>
      <c r="F328" s="55"/>
      <c r="G328" s="55"/>
      <c r="H328" s="55"/>
      <c r="I328" s="55"/>
      <c r="J328" s="55"/>
      <c r="K328" s="55"/>
      <c r="L328" s="58"/>
      <c r="M328" s="55"/>
      <c r="N328" s="55"/>
      <c r="O328" s="58"/>
      <c r="P328" s="59"/>
      <c r="Q328" s="14"/>
      <c r="R328" s="14"/>
      <c r="S328" s="14"/>
    </row>
    <row r="329" spans="1:19" ht="20.100000000000001" customHeight="1" x14ac:dyDescent="0.2">
      <c r="B329" s="39"/>
      <c r="C329" s="40"/>
      <c r="D329" s="55"/>
      <c r="E329" s="55"/>
      <c r="F329" s="55"/>
      <c r="G329" s="55"/>
      <c r="H329" s="55"/>
      <c r="I329" s="55"/>
      <c r="J329" s="55"/>
      <c r="K329" s="55"/>
      <c r="L329" s="58"/>
      <c r="M329" s="55"/>
      <c r="N329" s="55"/>
      <c r="O329" s="58"/>
      <c r="P329" s="59"/>
      <c r="Q329" s="14"/>
      <c r="R329" s="14"/>
      <c r="S329" s="14"/>
    </row>
    <row r="330" spans="1:19" ht="20.100000000000001" customHeight="1" x14ac:dyDescent="0.2">
      <c r="B330" s="39"/>
      <c r="C330" s="40"/>
      <c r="D330" s="55"/>
      <c r="E330" s="55"/>
      <c r="F330" s="55"/>
      <c r="G330" s="55"/>
      <c r="H330" s="55"/>
      <c r="I330" s="55"/>
      <c r="J330" s="55"/>
      <c r="K330" s="55"/>
      <c r="L330" s="58"/>
      <c r="M330" s="55"/>
      <c r="N330" s="55"/>
      <c r="O330" s="58"/>
      <c r="P330" s="59"/>
      <c r="Q330" s="14"/>
      <c r="R330" s="14"/>
      <c r="S330" s="14"/>
    </row>
    <row r="331" spans="1:19" ht="20.100000000000001" customHeight="1" x14ac:dyDescent="0.2">
      <c r="B331" s="39"/>
      <c r="C331" s="40"/>
      <c r="D331" s="55"/>
      <c r="E331" s="55"/>
      <c r="F331" s="55"/>
      <c r="G331" s="55"/>
      <c r="H331" s="55"/>
      <c r="I331" s="55"/>
      <c r="J331" s="55"/>
      <c r="K331" s="55"/>
      <c r="L331" s="58"/>
      <c r="M331" s="55"/>
      <c r="N331" s="55"/>
      <c r="O331" s="58"/>
      <c r="P331" s="59"/>
      <c r="Q331" s="14"/>
      <c r="R331" s="14"/>
      <c r="S331" s="14"/>
    </row>
    <row r="332" spans="1:19" ht="20.100000000000001" customHeight="1" x14ac:dyDescent="0.2">
      <c r="B332" s="39"/>
      <c r="C332" s="40"/>
      <c r="D332" s="55"/>
      <c r="E332" s="55"/>
      <c r="F332" s="55"/>
      <c r="G332" s="55"/>
      <c r="H332" s="55"/>
      <c r="I332" s="55"/>
      <c r="J332" s="55"/>
      <c r="K332" s="55"/>
      <c r="L332" s="58"/>
      <c r="M332" s="55"/>
      <c r="N332" s="55"/>
      <c r="O332" s="58"/>
      <c r="P332" s="59"/>
      <c r="Q332" s="14"/>
      <c r="R332" s="14"/>
      <c r="S332" s="14"/>
    </row>
    <row r="333" spans="1:19" x14ac:dyDescent="0.2">
      <c r="Q333" s="14"/>
      <c r="R333" s="14"/>
      <c r="S333" s="14"/>
    </row>
    <row r="334" spans="1:19" x14ac:dyDescent="0.2">
      <c r="Q334" s="14"/>
      <c r="R334" s="14"/>
      <c r="S334" s="14"/>
    </row>
    <row r="335" spans="1:19" x14ac:dyDescent="0.2">
      <c r="Q335" s="14"/>
      <c r="R335" s="14"/>
      <c r="S335" s="14"/>
    </row>
    <row r="336" spans="1:19" x14ac:dyDescent="0.2">
      <c r="Q336" s="14"/>
      <c r="R336" s="14"/>
      <c r="S336" s="14"/>
    </row>
    <row r="337" spans="17:19" x14ac:dyDescent="0.2">
      <c r="Q337" s="14"/>
      <c r="R337" s="14"/>
      <c r="S337" s="14"/>
    </row>
    <row r="338" spans="17:19" x14ac:dyDescent="0.2">
      <c r="Q338" s="14"/>
      <c r="R338" s="14"/>
      <c r="S338" s="14"/>
    </row>
    <row r="339" spans="17:19" x14ac:dyDescent="0.2">
      <c r="Q339" s="14"/>
      <c r="R339" s="14"/>
      <c r="S339" s="14"/>
    </row>
    <row r="340" spans="17:19" x14ac:dyDescent="0.2">
      <c r="Q340" s="14"/>
      <c r="R340" s="14"/>
      <c r="S340" s="14"/>
    </row>
    <row r="341" spans="17:19" x14ac:dyDescent="0.2">
      <c r="Q341" s="14"/>
      <c r="R341" s="14"/>
      <c r="S341" s="14"/>
    </row>
    <row r="342" spans="17:19" x14ac:dyDescent="0.2">
      <c r="Q342" s="14"/>
      <c r="R342" s="14"/>
      <c r="S342" s="14"/>
    </row>
    <row r="343" spans="17:19" x14ac:dyDescent="0.2">
      <c r="Q343" s="14"/>
      <c r="R343" s="14"/>
      <c r="S343" s="14"/>
    </row>
    <row r="344" spans="17:19" x14ac:dyDescent="0.2">
      <c r="Q344" s="14"/>
      <c r="R344" s="14"/>
      <c r="S344" s="14"/>
    </row>
    <row r="345" spans="17:19" x14ac:dyDescent="0.2">
      <c r="Q345" s="14"/>
      <c r="R345" s="14"/>
      <c r="S345" s="14"/>
    </row>
    <row r="346" spans="17:19" x14ac:dyDescent="0.2">
      <c r="Q346" s="14"/>
      <c r="R346" s="14"/>
      <c r="S346" s="14"/>
    </row>
    <row r="347" spans="17:19" x14ac:dyDescent="0.2">
      <c r="Q347" s="14"/>
      <c r="R347" s="14"/>
      <c r="S347" s="14"/>
    </row>
    <row r="348" spans="17:19" x14ac:dyDescent="0.2">
      <c r="Q348" s="14"/>
      <c r="R348" s="14"/>
      <c r="S348" s="14"/>
    </row>
    <row r="349" spans="17:19" x14ac:dyDescent="0.2">
      <c r="Q349" s="14"/>
      <c r="R349" s="14"/>
      <c r="S349" s="14"/>
    </row>
    <row r="350" spans="17:19" x14ac:dyDescent="0.2">
      <c r="Q350" s="14"/>
      <c r="R350" s="14"/>
      <c r="S350" s="14"/>
    </row>
    <row r="351" spans="17:19" x14ac:dyDescent="0.2">
      <c r="Q351" s="14"/>
      <c r="R351" s="14"/>
      <c r="S351" s="14"/>
    </row>
    <row r="352" spans="17:19" x14ac:dyDescent="0.2">
      <c r="Q352" s="14"/>
      <c r="R352" s="14"/>
      <c r="S352" s="14"/>
    </row>
    <row r="353" spans="17:19" x14ac:dyDescent="0.2">
      <c r="Q353" s="14"/>
      <c r="R353" s="14"/>
      <c r="S353" s="14"/>
    </row>
    <row r="354" spans="17:19" x14ac:dyDescent="0.2">
      <c r="Q354" s="14"/>
      <c r="R354" s="14"/>
      <c r="S354" s="14"/>
    </row>
    <row r="355" spans="17:19" x14ac:dyDescent="0.2">
      <c r="Q355" s="14"/>
      <c r="R355" s="14"/>
      <c r="S355" s="14"/>
    </row>
    <row r="356" spans="17:19" x14ac:dyDescent="0.2">
      <c r="Q356" s="14"/>
      <c r="R356" s="14"/>
      <c r="S356" s="14"/>
    </row>
    <row r="357" spans="17:19" x14ac:dyDescent="0.2">
      <c r="Q357" s="14"/>
      <c r="R357" s="14"/>
      <c r="S357" s="14"/>
    </row>
  </sheetData>
  <autoFilter ref="B153:O312" xr:uid="{00000000-0009-0000-0000-000000000000}"/>
  <mergeCells count="41">
    <mergeCell ref="K318:O318"/>
    <mergeCell ref="K38:O38"/>
    <mergeCell ref="K39:O39"/>
    <mergeCell ref="K108:O108"/>
    <mergeCell ref="K109:O109"/>
    <mergeCell ref="K317:O317"/>
    <mergeCell ref="B2:O2"/>
    <mergeCell ref="B65:O65"/>
    <mergeCell ref="B66:C66"/>
    <mergeCell ref="J66:K66"/>
    <mergeCell ref="M66:N66"/>
    <mergeCell ref="B11:C11"/>
    <mergeCell ref="J11:K11"/>
    <mergeCell ref="M11:N11"/>
    <mergeCell ref="B10:O10"/>
    <mergeCell ref="B57:O57"/>
    <mergeCell ref="D37:G37"/>
    <mergeCell ref="L37:O37"/>
    <mergeCell ref="D38:G38"/>
    <mergeCell ref="D39:G39"/>
    <mergeCell ref="D44:G44"/>
    <mergeCell ref="D45:G45"/>
    <mergeCell ref="D46:G46"/>
    <mergeCell ref="D107:G107"/>
    <mergeCell ref="L107:O107"/>
    <mergeCell ref="D108:G108"/>
    <mergeCell ref="D316:G316"/>
    <mergeCell ref="L316:O316"/>
    <mergeCell ref="D109:G109"/>
    <mergeCell ref="D114:G114"/>
    <mergeCell ref="D115:G115"/>
    <mergeCell ref="D116:G116"/>
    <mergeCell ref="B151:O151"/>
    <mergeCell ref="B152:C152"/>
    <mergeCell ref="J152:K152"/>
    <mergeCell ref="M152:N152"/>
    <mergeCell ref="D324:G324"/>
    <mergeCell ref="D325:G325"/>
    <mergeCell ref="D323:G323"/>
    <mergeCell ref="D317:G317"/>
    <mergeCell ref="D318:G318"/>
  </mergeCells>
  <phoneticPr fontId="18" type="noConversion"/>
  <printOptions horizontalCentered="1"/>
  <pageMargins left="0.39370078740157483" right="0.19685039370078741" top="0.39370078740157483" bottom="0.39370078740157483" header="0.31496062992125984" footer="0.31496062992125984"/>
  <pageSetup paperSize="5" scale="60" orientation="landscape" r:id="rId1"/>
  <ignoredErrors>
    <ignoredError sqref="L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Egresos</cp:lastModifiedBy>
  <cp:revision/>
  <cp:lastPrinted>2020-10-12T14:48:30Z</cp:lastPrinted>
  <dcterms:created xsi:type="dcterms:W3CDTF">2014-04-14T16:04:24Z</dcterms:created>
  <dcterms:modified xsi:type="dcterms:W3CDTF">2020-10-12T15:25:43Z</dcterms:modified>
</cp:coreProperties>
</file>